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5c7c692efad001/Anlagen/"/>
    </mc:Choice>
  </mc:AlternateContent>
  <xr:revisionPtr revIDLastSave="18" documentId="8_{414FDD94-9DE8-4E7B-8E9D-14767BC0DAEE}" xr6:coauthVersionLast="47" xr6:coauthVersionMax="47" xr10:uidLastSave="{8200919D-CF93-46B9-8A97-DD7426B52CB2}"/>
  <bookViews>
    <workbookView xWindow="-108" yWindow="-108" windowWidth="30936" windowHeight="16776" firstSheet="1" activeTab="1" xr2:uid="{07182348-024C-46A3-8D9E-1C68D95B0439}"/>
  </bookViews>
  <sheets>
    <sheet name="Tabelle1 (2)" sheetId="3" state="hidden" r:id="rId1"/>
    <sheet name="Ravelry" sheetId="5" r:id="rId2"/>
    <sheet name="Werte" sheetId="2" state="hidden" r:id="rId3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5" l="1"/>
  <c r="E76" i="5"/>
  <c r="A39" i="5" l="1"/>
  <c r="C39" i="5" s="1"/>
  <c r="F39" i="5" s="1"/>
  <c r="I39" i="5" s="1"/>
  <c r="A33" i="5"/>
  <c r="C33" i="5" s="1"/>
  <c r="F33" i="5" s="1"/>
  <c r="A34" i="5"/>
  <c r="C34" i="5" s="1"/>
  <c r="F34" i="5" s="1"/>
  <c r="I34" i="5" s="1"/>
  <c r="A35" i="5"/>
  <c r="C35" i="5" s="1"/>
  <c r="F35" i="5" s="1"/>
  <c r="A36" i="5"/>
  <c r="C36" i="5" s="1"/>
  <c r="F36" i="5" s="1"/>
  <c r="I36" i="5" s="1"/>
  <c r="A37" i="5"/>
  <c r="C37" i="5" s="1"/>
  <c r="F37" i="5" s="1"/>
  <c r="J51" i="5"/>
  <c r="J52" i="5"/>
  <c r="J53" i="5"/>
  <c r="J54" i="5"/>
  <c r="J55" i="5"/>
  <c r="J50" i="5"/>
  <c r="J43" i="5"/>
  <c r="J44" i="5"/>
  <c r="J45" i="5"/>
  <c r="J46" i="5"/>
  <c r="J47" i="5"/>
  <c r="J42" i="5"/>
  <c r="A67" i="5"/>
  <c r="C67" i="5" s="1"/>
  <c r="A66" i="5"/>
  <c r="C66" i="5" s="1"/>
  <c r="I66" i="5" s="1"/>
  <c r="A65" i="5"/>
  <c r="C65" i="5" s="1"/>
  <c r="F65" i="5" s="1"/>
  <c r="A64" i="5"/>
  <c r="A63" i="5"/>
  <c r="C63" i="5" s="1"/>
  <c r="A58" i="5"/>
  <c r="A57" i="5"/>
  <c r="C57" i="5" s="1"/>
  <c r="F57" i="5" s="1"/>
  <c r="I57" i="5" s="1"/>
  <c r="A56" i="5"/>
  <c r="A55" i="5"/>
  <c r="A54" i="5"/>
  <c r="C54" i="5" s="1"/>
  <c r="F54" i="5" s="1"/>
  <c r="A53" i="5"/>
  <c r="C53" i="5" s="1"/>
  <c r="F53" i="5" s="1"/>
  <c r="A52" i="5"/>
  <c r="C52" i="5" s="1"/>
  <c r="F52" i="5" s="1"/>
  <c r="A51" i="5"/>
  <c r="C51" i="5" s="1"/>
  <c r="F51" i="5" s="1"/>
  <c r="A50" i="5"/>
  <c r="C50" i="5" s="1"/>
  <c r="A49" i="5"/>
  <c r="I49" i="5" s="1"/>
  <c r="A46" i="5"/>
  <c r="C46" i="5" s="1"/>
  <c r="F46" i="5" s="1"/>
  <c r="A45" i="5"/>
  <c r="C45" i="5" s="1"/>
  <c r="F45" i="5" s="1"/>
  <c r="A44" i="5"/>
  <c r="C44" i="5" s="1"/>
  <c r="F44" i="5" s="1"/>
  <c r="A43" i="5"/>
  <c r="C43" i="5" s="1"/>
  <c r="F43" i="5" s="1"/>
  <c r="A42" i="5"/>
  <c r="C42" i="5" s="1"/>
  <c r="A40" i="5"/>
  <c r="C40" i="5" s="1"/>
  <c r="F40" i="5" s="1"/>
  <c r="A31" i="5"/>
  <c r="C31" i="5" s="1"/>
  <c r="F31" i="5" s="1"/>
  <c r="I31" i="5" s="1"/>
  <c r="A28" i="5"/>
  <c r="C28" i="5" s="1"/>
  <c r="F28" i="5" s="1"/>
  <c r="A27" i="5"/>
  <c r="C27" i="5" s="1"/>
  <c r="F27" i="5" s="1"/>
  <c r="A25" i="5"/>
  <c r="C25" i="5" s="1"/>
  <c r="F25" i="5" s="1"/>
  <c r="A24" i="5"/>
  <c r="A23" i="5"/>
  <c r="C23" i="5" s="1"/>
  <c r="F23" i="5" s="1"/>
  <c r="I23" i="5" s="1"/>
  <c r="A21" i="3"/>
  <c r="I21" i="3" s="1"/>
  <c r="A24" i="3"/>
  <c r="C24" i="3" s="1"/>
  <c r="A25" i="3"/>
  <c r="C25" i="3" s="1"/>
  <c r="F25" i="3" s="1"/>
  <c r="A26" i="3"/>
  <c r="C26" i="3" s="1"/>
  <c r="F26" i="3" s="1"/>
  <c r="A27" i="3"/>
  <c r="C27" i="3" s="1"/>
  <c r="F27" i="3" s="1"/>
  <c r="A28" i="3"/>
  <c r="C28" i="3" s="1"/>
  <c r="F28" i="3" s="1"/>
  <c r="X5" i="2"/>
  <c r="X6" i="2"/>
  <c r="X7" i="2"/>
  <c r="X8" i="2"/>
  <c r="X9" i="2"/>
  <c r="X10" i="2"/>
  <c r="X11" i="2"/>
  <c r="X12" i="2"/>
  <c r="X13" i="2"/>
  <c r="X4" i="2"/>
  <c r="I43" i="5" l="1"/>
  <c r="I51" i="5" s="1"/>
  <c r="C49" i="5"/>
  <c r="F49" i="5" s="1"/>
  <c r="I45" i="5"/>
  <c r="I53" i="5" s="1"/>
  <c r="I65" i="5"/>
  <c r="C55" i="5"/>
  <c r="F55" i="5" s="1"/>
  <c r="C58" i="5"/>
  <c r="F58" i="5" s="1"/>
  <c r="F50" i="5"/>
  <c r="C47" i="5"/>
  <c r="F47" i="5" s="1"/>
  <c r="F42" i="5"/>
  <c r="C64" i="5"/>
  <c r="F63" i="5"/>
  <c r="I28" i="5"/>
  <c r="C38" i="5"/>
  <c r="F38" i="5" s="1"/>
  <c r="C24" i="5"/>
  <c r="F24" i="5" s="1"/>
  <c r="C29" i="3"/>
  <c r="F29" i="3" s="1"/>
  <c r="F24" i="3"/>
  <c r="M7" i="3"/>
  <c r="M6" i="3"/>
  <c r="A43" i="3"/>
  <c r="A41" i="3"/>
  <c r="A40" i="3"/>
  <c r="A39" i="3"/>
  <c r="A38" i="3"/>
  <c r="A37" i="3"/>
  <c r="A36" i="3"/>
  <c r="A35" i="3"/>
  <c r="A34" i="3"/>
  <c r="A32" i="3"/>
  <c r="A31" i="3"/>
  <c r="A33" i="3"/>
  <c r="C33" i="3" s="1"/>
  <c r="A22" i="3"/>
  <c r="C22" i="3" s="1"/>
  <c r="F22" i="3" s="1"/>
  <c r="L22" i="3" s="1"/>
  <c r="A20" i="3"/>
  <c r="A19" i="3"/>
  <c r="C19" i="3" s="1"/>
  <c r="F19" i="3" s="1"/>
  <c r="A18" i="3"/>
  <c r="C18" i="3" s="1"/>
  <c r="F18" i="3" s="1"/>
  <c r="I18" i="3" s="1"/>
  <c r="A17" i="3"/>
  <c r="C17" i="3" s="1"/>
  <c r="F17" i="3" s="1"/>
  <c r="A16" i="3"/>
  <c r="C16" i="3" s="1"/>
  <c r="F16" i="3" s="1"/>
  <c r="I16" i="3" s="1"/>
  <c r="A15" i="3"/>
  <c r="C15" i="3" s="1"/>
  <c r="F15" i="3" s="1"/>
  <c r="A14" i="3"/>
  <c r="C14" i="3" s="1"/>
  <c r="F14" i="3" s="1"/>
  <c r="I14" i="3" s="1"/>
  <c r="A6" i="3"/>
  <c r="C6" i="3" s="1"/>
  <c r="F6" i="3" s="1"/>
  <c r="I6" i="3" s="1"/>
  <c r="A7" i="3"/>
  <c r="A8" i="3"/>
  <c r="C8" i="3" s="1"/>
  <c r="F8" i="3" s="1"/>
  <c r="K8" i="3" s="1"/>
  <c r="A10" i="3"/>
  <c r="C10" i="3" s="1"/>
  <c r="F10" i="3" s="1"/>
  <c r="A11" i="3"/>
  <c r="C11" i="3" s="1"/>
  <c r="F11" i="3" s="1"/>
  <c r="F44" i="3"/>
  <c r="I44" i="3" s="1"/>
  <c r="F43" i="3"/>
  <c r="I43" i="3" s="1"/>
  <c r="F41" i="3"/>
  <c r="F40" i="3"/>
  <c r="I40" i="3" s="1"/>
  <c r="AG5" i="2"/>
  <c r="AG6" i="2"/>
  <c r="AG7" i="2"/>
  <c r="AG8" i="2"/>
  <c r="AG9" i="2"/>
  <c r="AG10" i="2"/>
  <c r="AG11" i="2"/>
  <c r="AG12" i="2"/>
  <c r="AG13" i="2"/>
  <c r="AG4" i="2"/>
  <c r="Z5" i="2"/>
  <c r="Z6" i="2"/>
  <c r="Z7" i="2"/>
  <c r="Z8" i="2"/>
  <c r="Z9" i="2"/>
  <c r="Z10" i="2"/>
  <c r="Z11" i="2"/>
  <c r="Z12" i="2"/>
  <c r="Z13" i="2"/>
  <c r="Z4" i="2"/>
  <c r="Q5" i="2"/>
  <c r="Q6" i="2"/>
  <c r="Q7" i="2"/>
  <c r="Q8" i="2"/>
  <c r="Q9" i="2"/>
  <c r="Q10" i="2"/>
  <c r="Q11" i="2"/>
  <c r="Q12" i="2"/>
  <c r="Q13" i="2"/>
  <c r="Q4" i="2"/>
  <c r="O5" i="2"/>
  <c r="O6" i="2"/>
  <c r="O7" i="2"/>
  <c r="O8" i="2"/>
  <c r="O9" i="2"/>
  <c r="O10" i="2"/>
  <c r="O11" i="2"/>
  <c r="O12" i="2"/>
  <c r="O13" i="2"/>
  <c r="O4" i="2"/>
  <c r="H5" i="2"/>
  <c r="H6" i="2"/>
  <c r="H7" i="2"/>
  <c r="H8" i="2"/>
  <c r="H9" i="2"/>
  <c r="H10" i="2"/>
  <c r="H11" i="2"/>
  <c r="H12" i="2"/>
  <c r="H13" i="2"/>
  <c r="H4" i="2"/>
  <c r="D6" i="2"/>
  <c r="D7" i="2"/>
  <c r="D8" i="2"/>
  <c r="D9" i="2"/>
  <c r="D10" i="2"/>
  <c r="D11" i="2"/>
  <c r="D12" i="2"/>
  <c r="D13" i="2"/>
  <c r="D5" i="2"/>
  <c r="D4" i="2"/>
  <c r="I63" i="5" l="1"/>
  <c r="I64" i="5" s="1"/>
  <c r="I67" i="5" s="1"/>
  <c r="I24" i="5"/>
  <c r="I27" i="5" s="1"/>
  <c r="C35" i="3"/>
  <c r="F35" i="3" s="1"/>
  <c r="C36" i="3"/>
  <c r="F36" i="3" s="1"/>
  <c r="C32" i="3"/>
  <c r="F32" i="3" s="1"/>
  <c r="I32" i="3" s="1"/>
  <c r="C34" i="3"/>
  <c r="C37" i="3"/>
  <c r="F37" i="3" s="1"/>
  <c r="I31" i="3"/>
  <c r="C31" i="3"/>
  <c r="F31" i="3" s="1"/>
  <c r="L31" i="3" s="1"/>
  <c r="C7" i="3"/>
  <c r="F7" i="3" s="1"/>
  <c r="I7" i="3" s="1"/>
  <c r="I10" i="3" s="1"/>
  <c r="K10" i="3" s="1"/>
  <c r="C21" i="3"/>
  <c r="F21" i="3" s="1"/>
  <c r="F33" i="3"/>
  <c r="I11" i="3"/>
  <c r="K11" i="3"/>
  <c r="C20" i="3"/>
  <c r="F20" i="3" s="1"/>
  <c r="L20" i="3" s="1"/>
  <c r="I37" i="5" l="1"/>
  <c r="I46" i="5" s="1"/>
  <c r="I54" i="5" s="1"/>
  <c r="I33" i="5"/>
  <c r="I25" i="5"/>
  <c r="C38" i="3"/>
  <c r="F38" i="3" s="1"/>
  <c r="F34" i="3"/>
  <c r="K7" i="3"/>
  <c r="I8" i="3"/>
  <c r="I17" i="3" s="1"/>
  <c r="I19" i="3"/>
  <c r="I15" i="3"/>
  <c r="I35" i="5" l="1"/>
  <c r="I44" i="5" s="1"/>
  <c r="I52" i="5" s="1"/>
  <c r="I42" i="5"/>
  <c r="I24" i="3"/>
  <c r="I33" i="3" s="1"/>
  <c r="I28" i="3"/>
  <c r="I37" i="3" s="1"/>
  <c r="I26" i="3"/>
  <c r="I35" i="3" s="1"/>
  <c r="N21" i="3"/>
  <c r="O21" i="3" s="1"/>
  <c r="P21" i="3" s="1"/>
  <c r="L24" i="3"/>
  <c r="I25" i="3"/>
  <c r="I34" i="3" s="1"/>
  <c r="I27" i="3"/>
  <c r="I36" i="3" s="1"/>
  <c r="I20" i="3"/>
  <c r="I22" i="3" s="1"/>
  <c r="I38" i="5" l="1"/>
  <c r="I40" i="5" s="1"/>
  <c r="I50" i="5"/>
  <c r="I47" i="5"/>
  <c r="I38" i="3"/>
  <c r="I29" i="3"/>
  <c r="I58" i="5" l="1"/>
  <c r="I55" i="5"/>
</calcChain>
</file>

<file path=xl/sharedStrings.xml><?xml version="1.0" encoding="utf-8"?>
<sst xmlns="http://schemas.openxmlformats.org/spreadsheetml/2006/main" count="380" uniqueCount="126">
  <si>
    <t>MaPro</t>
  </si>
  <si>
    <t>MaPro Eva Cardigan</t>
  </si>
  <si>
    <t>MaPro Teddy Dear</t>
  </si>
  <si>
    <t>Auswahl Größe</t>
  </si>
  <si>
    <t>M</t>
  </si>
  <si>
    <t>R</t>
  </si>
  <si>
    <t>5XL</t>
  </si>
  <si>
    <t>Glossar</t>
  </si>
  <si>
    <t>Maschen</t>
  </si>
  <si>
    <t>Größe</t>
  </si>
  <si>
    <t>Reihen</t>
  </si>
  <si>
    <t>Rückseite</t>
  </si>
  <si>
    <t>Prüf</t>
  </si>
  <si>
    <t>Anz.</t>
  </si>
  <si>
    <t>Anzahl</t>
  </si>
  <si>
    <t xml:space="preserve">Anschlagkante </t>
  </si>
  <si>
    <t>cm</t>
  </si>
  <si>
    <t>Zun</t>
  </si>
  <si>
    <t>Zunahme</t>
  </si>
  <si>
    <t>Zunahmen</t>
  </si>
  <si>
    <t>Aufn.</t>
  </si>
  <si>
    <t>Aufnahme</t>
  </si>
  <si>
    <t>Anz. M nach Zun</t>
  </si>
  <si>
    <t>f</t>
  </si>
  <si>
    <t>für</t>
  </si>
  <si>
    <t>Rechte Schulter</t>
  </si>
  <si>
    <t>li</t>
  </si>
  <si>
    <t>links</t>
  </si>
  <si>
    <t>Maschenaufn</t>
  </si>
  <si>
    <t>re</t>
  </si>
  <si>
    <t>rechts</t>
  </si>
  <si>
    <t>R ohne Aufn.</t>
  </si>
  <si>
    <t>u</t>
  </si>
  <si>
    <t>und</t>
  </si>
  <si>
    <t>Li Schulter</t>
  </si>
  <si>
    <t xml:space="preserve">dito </t>
  </si>
  <si>
    <t>Passe</t>
  </si>
  <si>
    <t>nach Zunahme</t>
  </si>
  <si>
    <t>Aufn. M f Ärmel</t>
  </si>
  <si>
    <t>li Ärmel</t>
  </si>
  <si>
    <t>Rücken</t>
  </si>
  <si>
    <t>re Ärmel</t>
  </si>
  <si>
    <t>re Schulter</t>
  </si>
  <si>
    <t>total</t>
  </si>
  <si>
    <t>Zunahmen über die Passe</t>
  </si>
  <si>
    <t>Anz M</t>
  </si>
  <si>
    <t>Anzahl Maschen</t>
  </si>
  <si>
    <t>Li Vorderseite</t>
  </si>
  <si>
    <t>re Vorderseit</t>
  </si>
  <si>
    <t>Raglanzunahmen</t>
  </si>
  <si>
    <t>Ärmel still legen</t>
  </si>
  <si>
    <t>Neue M u Ärmel</t>
  </si>
  <si>
    <t>Rumpfmaschen</t>
  </si>
  <si>
    <t>bis 52 cm Länge stricken</t>
  </si>
  <si>
    <t>Ärmel abnnahmen</t>
  </si>
  <si>
    <t>Eva Cardigan x Teddy Dear</t>
  </si>
  <si>
    <t>Auswahl Größe/Drop Down</t>
  </si>
  <si>
    <t>XS</t>
  </si>
  <si>
    <t>Anschlag</t>
  </si>
  <si>
    <t>bis zur gewünschten Länge stricken</t>
  </si>
  <si>
    <t>für Bündchen auf Woolia wechseln</t>
  </si>
  <si>
    <t>Ärmel</t>
  </si>
  <si>
    <t>Ärmel M oben</t>
  </si>
  <si>
    <t>Anzahl Abn</t>
  </si>
  <si>
    <t>*ungerade Anzahl: letzte Abnahme nur 1 Masche abnhehmen (z.B. 2,5= 2x2 und 1x1 = 3 Abnahmerunden)</t>
  </si>
  <si>
    <t>Anzahl M unten</t>
  </si>
  <si>
    <t>Ärmellänge</t>
  </si>
  <si>
    <t>Abnahme in jeder x. Runde</t>
  </si>
  <si>
    <t>Rd</t>
  </si>
  <si>
    <t>Blende</t>
  </si>
  <si>
    <t>Für die Blende habe ich 240 Maschen mit Woolia angeschlagen. Mein Cardigan ist 50 cm lang.</t>
  </si>
  <si>
    <t>Je nach Maschenprobe und Länge des Cardigan muss die Anzahl der Maschen angepasst werden.</t>
  </si>
  <si>
    <t>Zur Orientierung hier noch meine MaPro und eine kleine Berechnungstabelle</t>
  </si>
  <si>
    <t>meine MaPro Woolia auf NS 4,5 in 2re/2li</t>
  </si>
  <si>
    <t>Meine Blende</t>
  </si>
  <si>
    <t xml:space="preserve">M  </t>
  </si>
  <si>
    <t>M Anz.</t>
  </si>
  <si>
    <t>Länge der Blende</t>
  </si>
  <si>
    <t>Deine MaPro</t>
  </si>
  <si>
    <t xml:space="preserve">Deine Blende </t>
  </si>
  <si>
    <t>Maschenanz.</t>
  </si>
  <si>
    <t>Zunahmen Passe</t>
  </si>
  <si>
    <t>Maschenverteilung</t>
  </si>
  <si>
    <t>RaglanZ u Vzun</t>
  </si>
  <si>
    <t>Anz. RG Zun. TD</t>
  </si>
  <si>
    <t>Zun. ü Passe</t>
  </si>
  <si>
    <t>Ä M neu anschl</t>
  </si>
  <si>
    <t>Anz M Ärmel</t>
  </si>
  <si>
    <t>Ärmel M unten</t>
  </si>
  <si>
    <t>Abn. Jd x Rd</t>
  </si>
  <si>
    <t xml:space="preserve">TD Ä u </t>
  </si>
  <si>
    <t>Anschlagkante</t>
  </si>
  <si>
    <t>Wdh. Zun.R</t>
  </si>
  <si>
    <t>Zun.R</t>
  </si>
  <si>
    <t>Anz. M n Zun.R</t>
  </si>
  <si>
    <t>M.Aufn</t>
  </si>
  <si>
    <t>Wdh.</t>
  </si>
  <si>
    <t>Anz. R ohne Aufn.</t>
  </si>
  <si>
    <t>Aufn. M. f. Ä.</t>
  </si>
  <si>
    <t>li Schulter</t>
  </si>
  <si>
    <t>li Ä</t>
  </si>
  <si>
    <t>RS</t>
  </si>
  <si>
    <t>re Ä</t>
  </si>
  <si>
    <t>Wdh</t>
  </si>
  <si>
    <t>ZunR</t>
  </si>
  <si>
    <t>li VS</t>
  </si>
  <si>
    <t>re VS</t>
  </si>
  <si>
    <t>Anz. R (2/4)</t>
  </si>
  <si>
    <t>XXS</t>
  </si>
  <si>
    <t>S</t>
  </si>
  <si>
    <t>L</t>
  </si>
  <si>
    <t>XL</t>
  </si>
  <si>
    <t>2XL</t>
  </si>
  <si>
    <t>3XL</t>
  </si>
  <si>
    <t>4XL</t>
  </si>
  <si>
    <r>
      <t xml:space="preserve">Ich habe dafür die Garne </t>
    </r>
    <r>
      <rPr>
        <b/>
        <sz val="11"/>
        <color rgb="FF000000"/>
        <rFont val="Aptos Narrow"/>
        <family val="2"/>
        <scheme val="minor"/>
      </rPr>
      <t>Teddy Dear</t>
    </r>
    <r>
      <rPr>
        <sz val="11"/>
        <color rgb="FF000000"/>
        <rFont val="Aptos Narrow"/>
        <family val="2"/>
        <scheme val="minor"/>
      </rPr>
      <t xml:space="preserve"> und </t>
    </r>
    <r>
      <rPr>
        <b/>
        <sz val="11"/>
        <color rgb="FF000000"/>
        <rFont val="Aptos Narrow"/>
        <family val="2"/>
        <scheme val="minor"/>
      </rPr>
      <t>Woolia</t>
    </r>
    <r>
      <rPr>
        <sz val="11"/>
        <color rgb="FF000000"/>
        <rFont val="Aptos Narrow"/>
        <family val="2"/>
        <scheme val="minor"/>
      </rPr>
      <t xml:space="preserve"> verwendet. In den </t>
    </r>
    <r>
      <rPr>
        <b/>
        <sz val="11"/>
        <color rgb="FF000000"/>
        <rFont val="Aptos Narrow"/>
        <family val="2"/>
        <scheme val="minor"/>
      </rPr>
      <t>blau markierten Feldern</t>
    </r>
    <r>
      <rPr>
        <sz val="11"/>
        <color rgb="FF000000"/>
        <rFont val="Aptos Narrow"/>
        <family val="2"/>
        <scheme val="minor"/>
      </rPr>
      <t xml:space="preserve"> kannst du bequem per Drop-down </t>
    </r>
  </si>
  <si>
    <r>
      <t xml:space="preserve">deine gewünschte Größe auswählen und deine </t>
    </r>
    <r>
      <rPr>
        <b/>
        <sz val="11"/>
        <color rgb="FF000000"/>
        <rFont val="Aptos Narrow"/>
        <family val="2"/>
        <scheme val="minor"/>
      </rPr>
      <t>eigene Maschenprobe</t>
    </r>
    <r>
      <rPr>
        <sz val="11"/>
        <color rgb="FF000000"/>
        <rFont val="Aptos Narrow"/>
        <family val="2"/>
        <scheme val="minor"/>
      </rPr>
      <t xml:space="preserve"> eintragen.</t>
    </r>
  </si>
  <si>
    <t xml:space="preserve">Die Tabelle basiert auf meinen persönlichen Strickerfahrungen und einer berechneten Größe. Sie wurde nicht separat testgestrickt </t>
  </si>
  <si>
    <t xml:space="preserve">und erhebt daher keinen Anspruch auf Vollständigkeit oder absolute Fehlerfreiheit. Ich empfehle dir, regelmäßig nachzumessen und </t>
  </si>
  <si>
    <t>mit der gewohnten Sorgfalt zu stricken – so bleibt dein Projekt entspannt und erfolgreich ✨</t>
  </si>
  <si>
    <r>
      <t xml:space="preserve">Die Tabelle dient ausschließlich als </t>
    </r>
    <r>
      <rPr>
        <b/>
        <sz val="11"/>
        <color rgb="FF000000"/>
        <rFont val="Aptos Narrow"/>
        <family val="2"/>
        <scheme val="minor"/>
      </rPr>
      <t>Umrechnungshilfe</t>
    </r>
    <r>
      <rPr>
        <sz val="11"/>
        <color rgb="FF000000"/>
        <rFont val="Aptos Narrow"/>
        <family val="2"/>
        <scheme val="minor"/>
      </rPr>
      <t xml:space="preserve">. Die originale Anleitung erhältst du bei </t>
    </r>
    <r>
      <rPr>
        <b/>
        <sz val="11"/>
        <color rgb="FF000000"/>
        <rFont val="Aptos Narrow"/>
        <family val="2"/>
        <scheme val="minor"/>
      </rPr>
      <t>Petite Knit</t>
    </r>
    <r>
      <rPr>
        <sz val="11"/>
        <color rgb="FF000000"/>
        <rFont val="Aptos Narrow"/>
        <family val="2"/>
        <scheme val="minor"/>
      </rPr>
      <t xml:space="preserve"> (über Ravelry oder die offizielle Webseite).</t>
    </r>
  </si>
  <si>
    <t xml:space="preserve">Viel Freude beim Stricken und Anpassen – ich wünsche dir ein wunderbares Cardigan-Projekt! </t>
  </si>
  <si>
    <t>*ungerade Anzahl: letzte Abnahme nur</t>
  </si>
  <si>
    <t xml:space="preserve"> 1 Masche abnhehmen (z.B. 2,5= 2x2 </t>
  </si>
  <si>
    <t>und 1x1 = 3 Abnahmerunden)</t>
  </si>
  <si>
    <t xml:space="preserve">Diese Excel-Tabelle hilft dir dabei, einen Cardigan aus einer Petite-Knit-Anleitung (Eva Cardigan) auf ein anderes Garn umzurechnen.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</si>
</sst>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quotePrefix="1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4" xfId="0" applyBorder="1"/>
    <xf numFmtId="2" fontId="0" fillId="0" borderId="0" xfId="0" applyNumberFormat="1"/>
    <xf numFmtId="0" fontId="0" fillId="2" borderId="0" xfId="0" applyFill="1"/>
    <xf numFmtId="0" fontId="0" fillId="0" borderId="0" xfId="0" applyAlignment="1">
      <alignment horizontal="right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3" xfId="0" quotePrefix="1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Standard" xfId="0" builtinId="0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466725</xdr:colOff>
      <xdr:row>12</xdr:row>
      <xdr:rowOff>154305</xdr:rowOff>
    </xdr:from>
    <xdr:ext cx="8330566" cy="183642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DDB044B-11B1-2AFD-C04C-ADA435333EA7}"/>
            </a:ext>
          </a:extLst>
        </xdr:cNvPr>
        <xdr:cNvSpPr txBox="1"/>
      </xdr:nvSpPr>
      <xdr:spPr>
        <a:xfrm>
          <a:off x="7381875" y="1030605"/>
          <a:ext cx="8330566" cy="1836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1C21-0E29-49F5-BB7B-4E9D16BB7A2A}">
  <sheetPr>
    <tabColor theme="4" tint="0.79998168889431442"/>
  </sheetPr>
  <dimension ref="A1:P44"/>
  <sheetViews>
    <sheetView workbookViewId="0">
      <selection activeCell="I21" sqref="I21"/>
    </sheetView>
  </sheetViews>
  <sheetFormatPr baseColWidth="10" defaultColWidth="11.44140625" defaultRowHeight="14.4" x14ac:dyDescent="0.3"/>
  <cols>
    <col min="1" max="1" width="11.44140625" style="6"/>
    <col min="2" max="2" width="24" customWidth="1"/>
    <col min="5" max="5" width="3.6640625" customWidth="1"/>
    <col min="6" max="7" width="5.6640625" customWidth="1"/>
    <col min="8" max="8" width="3.6640625" customWidth="1"/>
    <col min="9" max="9" width="11.44140625" customWidth="1"/>
    <col min="11" max="11" width="13" bestFit="1" customWidth="1"/>
    <col min="13" max="13" width="14.109375" bestFit="1" customWidth="1"/>
  </cols>
  <sheetData>
    <row r="1" spans="1:16" ht="15" thickBot="1" x14ac:dyDescent="0.35">
      <c r="B1" t="s">
        <v>0</v>
      </c>
      <c r="C1" s="28" t="s">
        <v>1</v>
      </c>
      <c r="D1" s="29"/>
      <c r="I1" s="28" t="s">
        <v>2</v>
      </c>
      <c r="J1" s="29"/>
      <c r="M1" t="s">
        <v>3</v>
      </c>
    </row>
    <row r="2" spans="1:16" ht="15" thickBot="1" x14ac:dyDescent="0.35">
      <c r="C2" s="5" t="s">
        <v>4</v>
      </c>
      <c r="D2" s="5" t="s">
        <v>5</v>
      </c>
      <c r="I2" s="5" t="s">
        <v>4</v>
      </c>
      <c r="J2" s="5" t="s">
        <v>5</v>
      </c>
      <c r="M2" s="9" t="s">
        <v>6</v>
      </c>
      <c r="O2" t="s">
        <v>7</v>
      </c>
    </row>
    <row r="3" spans="1:16" x14ac:dyDescent="0.3">
      <c r="C3" s="5">
        <v>20</v>
      </c>
      <c r="D3" s="5">
        <v>30</v>
      </c>
      <c r="I3" s="5">
        <v>11.5</v>
      </c>
      <c r="J3" s="5">
        <v>18</v>
      </c>
      <c r="O3" t="s">
        <v>4</v>
      </c>
      <c r="P3" t="s">
        <v>8</v>
      </c>
    </row>
    <row r="4" spans="1:16" x14ac:dyDescent="0.3">
      <c r="A4" s="27" t="s">
        <v>9</v>
      </c>
      <c r="O4" t="s">
        <v>5</v>
      </c>
      <c r="P4" t="s">
        <v>10</v>
      </c>
    </row>
    <row r="5" spans="1:16" ht="15.6" x14ac:dyDescent="0.3">
      <c r="B5" s="4" t="s">
        <v>11</v>
      </c>
      <c r="K5" t="s">
        <v>12</v>
      </c>
      <c r="O5" t="s">
        <v>13</v>
      </c>
      <c r="P5" t="s">
        <v>14</v>
      </c>
    </row>
    <row r="6" spans="1:16" x14ac:dyDescent="0.3">
      <c r="A6" s="6" t="str">
        <f>$M$2</f>
        <v>5XL</v>
      </c>
      <c r="B6" t="s">
        <v>15</v>
      </c>
      <c r="C6" s="6">
        <f>VLOOKUP(A6,Werte!$A$4:$AM$13,2,FALSE)</f>
        <v>34</v>
      </c>
      <c r="D6" s="6" t="s">
        <v>4</v>
      </c>
      <c r="E6" s="1"/>
      <c r="F6" s="6">
        <f>C6/20*10</f>
        <v>17</v>
      </c>
      <c r="G6" s="6" t="s">
        <v>16</v>
      </c>
      <c r="I6" s="6">
        <f>ROUND(F6*$I$3/10,0)</f>
        <v>20</v>
      </c>
      <c r="J6" s="6" t="s">
        <v>4</v>
      </c>
      <c r="M6">
        <f>C3/D3</f>
        <v>0.66666666666666663</v>
      </c>
      <c r="O6" t="s">
        <v>17</v>
      </c>
      <c r="P6" t="s">
        <v>18</v>
      </c>
    </row>
    <row r="7" spans="1:16" x14ac:dyDescent="0.3">
      <c r="A7" s="6" t="str">
        <f>$M$2</f>
        <v>5XL</v>
      </c>
      <c r="B7" t="s">
        <v>19</v>
      </c>
      <c r="C7" s="6">
        <f>VLOOKUP(A7,Werte!$A$4:$AM$13,4,FALSE)</f>
        <v>28</v>
      </c>
      <c r="D7" s="6" t="s">
        <v>5</v>
      </c>
      <c r="E7" s="1"/>
      <c r="F7" s="7">
        <f>C7/D3*10</f>
        <v>9.3333333333333339</v>
      </c>
      <c r="G7" s="6" t="s">
        <v>16</v>
      </c>
      <c r="I7" s="6">
        <f>IF(OR(A7="M",A7="L"),EVEN(ROUNDDOWN(F7*$J$3/10,0))-2,EVEN(ROUNDDOWN(F7*$J$3/10,0)))</f>
        <v>16</v>
      </c>
      <c r="J7" s="6" t="s">
        <v>5</v>
      </c>
      <c r="K7">
        <f>F7*J3/10</f>
        <v>16.8</v>
      </c>
      <c r="M7">
        <f>I3/18</f>
        <v>0.63888888888888884</v>
      </c>
      <c r="O7" t="s">
        <v>20</v>
      </c>
      <c r="P7" t="s">
        <v>21</v>
      </c>
    </row>
    <row r="8" spans="1:16" x14ac:dyDescent="0.3">
      <c r="A8" s="6" t="str">
        <f>$M$2</f>
        <v>5XL</v>
      </c>
      <c r="B8" t="s">
        <v>22</v>
      </c>
      <c r="C8" s="6">
        <f>VLOOKUP(A8,Werte!$A$4:$AM$13,5,FALSE)</f>
        <v>90</v>
      </c>
      <c r="D8" s="6" t="s">
        <v>4</v>
      </c>
      <c r="F8" s="6">
        <f>C8/C3*10</f>
        <v>45</v>
      </c>
      <c r="G8" s="6" t="s">
        <v>16</v>
      </c>
      <c r="I8" s="8">
        <f>I7*2+I6</f>
        <v>52</v>
      </c>
      <c r="J8" s="6" t="s">
        <v>4</v>
      </c>
      <c r="K8">
        <f>F8*I3/10</f>
        <v>51.75</v>
      </c>
      <c r="O8" t="s">
        <v>23</v>
      </c>
      <c r="P8" t="s">
        <v>24</v>
      </c>
    </row>
    <row r="9" spans="1:16" ht="15.6" x14ac:dyDescent="0.3">
      <c r="B9" s="4" t="s">
        <v>25</v>
      </c>
      <c r="C9" s="6"/>
      <c r="D9" s="6"/>
      <c r="F9" s="6"/>
      <c r="G9" s="6"/>
      <c r="I9" s="6"/>
      <c r="J9" s="6"/>
      <c r="O9" t="s">
        <v>26</v>
      </c>
      <c r="P9" t="s">
        <v>27</v>
      </c>
    </row>
    <row r="10" spans="1:16" x14ac:dyDescent="0.3">
      <c r="A10" s="6" t="str">
        <f>$M$2</f>
        <v>5XL</v>
      </c>
      <c r="B10" t="s">
        <v>28</v>
      </c>
      <c r="C10" s="6">
        <f>VLOOKUP(A10,Werte!$A$4:$AM$13,6,FALSE)</f>
        <v>29</v>
      </c>
      <c r="D10" s="6" t="s">
        <v>4</v>
      </c>
      <c r="F10" s="6">
        <f>C10/C3*10</f>
        <v>14.5</v>
      </c>
      <c r="G10" s="6" t="s">
        <v>16</v>
      </c>
      <c r="I10" s="6">
        <f>I7+1</f>
        <v>17</v>
      </c>
      <c r="J10" s="6" t="s">
        <v>4</v>
      </c>
      <c r="K10" s="10">
        <f>I10/I3*10</f>
        <v>14.782608695652172</v>
      </c>
      <c r="O10" t="s">
        <v>29</v>
      </c>
      <c r="P10" t="s">
        <v>30</v>
      </c>
    </row>
    <row r="11" spans="1:16" x14ac:dyDescent="0.3">
      <c r="A11" s="6" t="str">
        <f>$M$2</f>
        <v>5XL</v>
      </c>
      <c r="B11" t="s">
        <v>31</v>
      </c>
      <c r="C11" s="6">
        <f>VLOOKUP(A11,Werte!$A$4:$AM$13,8,FALSE)</f>
        <v>28</v>
      </c>
      <c r="D11" s="6" t="s">
        <v>5</v>
      </c>
      <c r="F11" s="7">
        <f>C11/D3*10</f>
        <v>9.3333333333333339</v>
      </c>
      <c r="G11" s="6" t="s">
        <v>16</v>
      </c>
      <c r="I11" s="6">
        <f>EVEN(ROUND(F11*$J$3/10,0))</f>
        <v>18</v>
      </c>
      <c r="J11" s="6" t="s">
        <v>5</v>
      </c>
      <c r="K11">
        <f>J3/10*F11</f>
        <v>16.8</v>
      </c>
      <c r="O11" t="s">
        <v>32</v>
      </c>
      <c r="P11" t="s">
        <v>33</v>
      </c>
    </row>
    <row r="12" spans="1:16" x14ac:dyDescent="0.3">
      <c r="B12" s="2" t="s">
        <v>34</v>
      </c>
      <c r="C12" s="6" t="s">
        <v>35</v>
      </c>
      <c r="D12" s="6"/>
      <c r="F12" s="6"/>
      <c r="G12" s="6"/>
      <c r="I12" s="6"/>
      <c r="J12" s="6"/>
    </row>
    <row r="13" spans="1:16" x14ac:dyDescent="0.3">
      <c r="B13" s="2" t="s">
        <v>36</v>
      </c>
      <c r="C13" s="6"/>
      <c r="D13" s="6"/>
      <c r="F13" s="6"/>
      <c r="G13" s="6"/>
      <c r="I13" s="6"/>
      <c r="J13" s="6" t="s">
        <v>37</v>
      </c>
    </row>
    <row r="14" spans="1:16" x14ac:dyDescent="0.3">
      <c r="A14" s="6" t="str">
        <f t="shared" ref="A14:A22" si="0">$M$2</f>
        <v>5XL</v>
      </c>
      <c r="B14" t="s">
        <v>38</v>
      </c>
      <c r="C14" s="6">
        <f>VLOOKUP(A14,Werte!$A$4:$AM$13,9,FALSE)</f>
        <v>22</v>
      </c>
      <c r="D14" s="6" t="s">
        <v>4</v>
      </c>
      <c r="F14" s="6">
        <f>C14/$C$3*10</f>
        <v>11</v>
      </c>
      <c r="G14" s="6" t="s">
        <v>16</v>
      </c>
      <c r="I14" s="6">
        <f>ROUND(F14*$I$3/10,0)</f>
        <v>13</v>
      </c>
      <c r="J14" s="6" t="s">
        <v>4</v>
      </c>
    </row>
    <row r="15" spans="1:16" x14ac:dyDescent="0.3">
      <c r="A15" s="6" t="str">
        <f t="shared" si="0"/>
        <v>5XL</v>
      </c>
      <c r="B15" t="s">
        <v>34</v>
      </c>
      <c r="C15" s="6">
        <f>VLOOKUP(A15,Werte!$A$4:$AM$13,10,FALSE)</f>
        <v>28</v>
      </c>
      <c r="D15" s="6" t="s">
        <v>4</v>
      </c>
      <c r="F15" s="6">
        <f t="shared" ref="F15:F22" si="1">C15/$C$3*10</f>
        <v>14</v>
      </c>
      <c r="G15" s="6" t="s">
        <v>16</v>
      </c>
      <c r="I15" s="6">
        <f>I10-1</f>
        <v>16</v>
      </c>
      <c r="J15" s="6" t="s">
        <v>4</v>
      </c>
    </row>
    <row r="16" spans="1:16" x14ac:dyDescent="0.3">
      <c r="A16" s="6" t="str">
        <f t="shared" si="0"/>
        <v>5XL</v>
      </c>
      <c r="B16" t="s">
        <v>39</v>
      </c>
      <c r="C16" s="6">
        <f>VLOOKUP(A16,Werte!$A$4:$AM$13,11,FALSE)</f>
        <v>22</v>
      </c>
      <c r="D16" s="6" t="s">
        <v>4</v>
      </c>
      <c r="F16" s="6">
        <f t="shared" si="1"/>
        <v>11</v>
      </c>
      <c r="G16" s="6" t="s">
        <v>16</v>
      </c>
      <c r="I16" s="6">
        <f>ROUND(F16*$I$3/10,0)</f>
        <v>13</v>
      </c>
      <c r="J16" s="6" t="s">
        <v>4</v>
      </c>
    </row>
    <row r="17" spans="1:16" x14ac:dyDescent="0.3">
      <c r="A17" s="6" t="str">
        <f t="shared" si="0"/>
        <v>5XL</v>
      </c>
      <c r="B17" t="s">
        <v>40</v>
      </c>
      <c r="C17" s="6">
        <f>VLOOKUP(A17,Werte!$A$4:$AM$13,12,FALSE)</f>
        <v>88</v>
      </c>
      <c r="D17" s="6" t="s">
        <v>4</v>
      </c>
      <c r="F17" s="6">
        <f t="shared" si="1"/>
        <v>44</v>
      </c>
      <c r="G17" s="6" t="s">
        <v>16</v>
      </c>
      <c r="I17" s="8">
        <f>I8</f>
        <v>52</v>
      </c>
      <c r="J17" s="6" t="s">
        <v>4</v>
      </c>
    </row>
    <row r="18" spans="1:16" x14ac:dyDescent="0.3">
      <c r="A18" s="6" t="str">
        <f t="shared" si="0"/>
        <v>5XL</v>
      </c>
      <c r="B18" t="s">
        <v>41</v>
      </c>
      <c r="C18" s="6">
        <f>VLOOKUP(A18,Werte!$A$4:$AM$13,13,FALSE)</f>
        <v>22</v>
      </c>
      <c r="D18" s="6" t="s">
        <v>4</v>
      </c>
      <c r="F18" s="6">
        <f t="shared" si="1"/>
        <v>11</v>
      </c>
      <c r="G18" s="6" t="s">
        <v>16</v>
      </c>
      <c r="I18" s="6">
        <f>ROUND(F18*$I$3/10,0)</f>
        <v>13</v>
      </c>
      <c r="J18" s="6" t="s">
        <v>4</v>
      </c>
    </row>
    <row r="19" spans="1:16" x14ac:dyDescent="0.3">
      <c r="A19" s="6" t="str">
        <f t="shared" si="0"/>
        <v>5XL</v>
      </c>
      <c r="B19" t="s">
        <v>42</v>
      </c>
      <c r="C19" s="6">
        <f>VLOOKUP(A19,Werte!$A$4:$AM$13,14,FALSE)</f>
        <v>28</v>
      </c>
      <c r="D19" s="6" t="s">
        <v>4</v>
      </c>
      <c r="F19" s="6">
        <f t="shared" si="1"/>
        <v>14</v>
      </c>
      <c r="G19" s="6" t="s">
        <v>16</v>
      </c>
      <c r="I19" s="6">
        <f>I10-1</f>
        <v>16</v>
      </c>
      <c r="J19" s="6" t="s">
        <v>4</v>
      </c>
    </row>
    <row r="20" spans="1:16" x14ac:dyDescent="0.3">
      <c r="A20" s="6" t="str">
        <f t="shared" si="0"/>
        <v>5XL</v>
      </c>
      <c r="B20" s="27" t="s">
        <v>43</v>
      </c>
      <c r="C20" s="6">
        <f>C15+C16+C17+C18+C19</f>
        <v>188</v>
      </c>
      <c r="D20" s="6" t="s">
        <v>4</v>
      </c>
      <c r="F20" s="6">
        <f t="shared" si="1"/>
        <v>94</v>
      </c>
      <c r="G20" s="6" t="s">
        <v>16</v>
      </c>
      <c r="I20" s="8">
        <f>I15+I16+I17+I18+I19</f>
        <v>110</v>
      </c>
      <c r="J20" s="6" t="s">
        <v>4</v>
      </c>
      <c r="L20">
        <f>F20*I3/10</f>
        <v>108.1</v>
      </c>
    </row>
    <row r="21" spans="1:16" x14ac:dyDescent="0.3">
      <c r="A21" s="6" t="str">
        <f t="shared" si="0"/>
        <v>5XL</v>
      </c>
      <c r="B21" s="2" t="s">
        <v>44</v>
      </c>
      <c r="C21" s="6">
        <f>VLOOKUP(A21,Werte!$A$4:$AM$13,17,FALSE)</f>
        <v>4</v>
      </c>
      <c r="D21" s="6" t="s">
        <v>5</v>
      </c>
      <c r="F21" s="7">
        <f>C21/D3*10</f>
        <v>1.3333333333333333</v>
      </c>
      <c r="G21" s="6" t="s">
        <v>16</v>
      </c>
      <c r="I21" s="6">
        <f>VLOOKUP(A21,Werte!$A$4:$AI$13,35,FALSE)</f>
        <v>4</v>
      </c>
      <c r="J21" s="6" t="s">
        <v>5</v>
      </c>
      <c r="N21">
        <f>I21/C21</f>
        <v>1</v>
      </c>
      <c r="O21">
        <f>ROUNDUP((N21*C21),0)</f>
        <v>4</v>
      </c>
      <c r="P21">
        <f>IF(MOD(O21,2)&lt;&gt;0,O21+1,O21)</f>
        <v>4</v>
      </c>
    </row>
    <row r="22" spans="1:16" x14ac:dyDescent="0.3">
      <c r="A22" s="6" t="str">
        <f t="shared" si="0"/>
        <v>5XL</v>
      </c>
      <c r="B22" t="s">
        <v>45</v>
      </c>
      <c r="C22" s="6">
        <f>VLOOKUP(A22,Werte!$A$4:$AM$13,18,FALSE)</f>
        <v>198</v>
      </c>
      <c r="D22" s="6" t="s">
        <v>4</v>
      </c>
      <c r="F22" s="6">
        <f t="shared" si="1"/>
        <v>99</v>
      </c>
      <c r="G22" s="6" t="s">
        <v>16</v>
      </c>
      <c r="I22" s="8">
        <f>I20+IF(MOD(I21,4)=0,(I21/4)*10,INT(I21/4)*10+4)</f>
        <v>120</v>
      </c>
      <c r="J22" s="6" t="s">
        <v>4</v>
      </c>
      <c r="L22" s="6">
        <f>ROUND(F22*$I$3/10,0)</f>
        <v>114</v>
      </c>
    </row>
    <row r="23" spans="1:16" x14ac:dyDescent="0.3">
      <c r="B23" s="2" t="s">
        <v>46</v>
      </c>
      <c r="C23" s="6"/>
      <c r="D23" s="6"/>
      <c r="F23" s="6"/>
      <c r="G23" s="6"/>
      <c r="I23" s="6"/>
      <c r="J23" s="6"/>
    </row>
    <row r="24" spans="1:16" x14ac:dyDescent="0.3">
      <c r="A24" s="6" t="str">
        <f t="shared" ref="A24:A28" si="2">$M$2</f>
        <v>5XL</v>
      </c>
      <c r="B24" t="s">
        <v>47</v>
      </c>
      <c r="C24" s="6">
        <f>VLOOKUP(A24,Werte!$A$4:$AM$13,19,FALSE)</f>
        <v>29</v>
      </c>
      <c r="D24" s="6" t="s">
        <v>4</v>
      </c>
      <c r="F24" s="6">
        <f>C24/$C$3*10</f>
        <v>14.5</v>
      </c>
      <c r="G24" s="6" t="s">
        <v>16</v>
      </c>
      <c r="I24" s="6">
        <f>I15+ROUNDDOWN($I$21/4,0)</f>
        <v>17</v>
      </c>
      <c r="J24" s="6"/>
      <c r="L24">
        <f>ROUNDDOWN(I21/4,0)</f>
        <v>1</v>
      </c>
    </row>
    <row r="25" spans="1:16" x14ac:dyDescent="0.3">
      <c r="A25" s="6" t="str">
        <f t="shared" si="2"/>
        <v>5XL</v>
      </c>
      <c r="B25" t="s">
        <v>39</v>
      </c>
      <c r="C25" s="6">
        <f>VLOOKUP(A25,Werte!$A$4:$AM$13,20,FALSE)</f>
        <v>26</v>
      </c>
      <c r="D25" s="6" t="s">
        <v>4</v>
      </c>
      <c r="F25" s="6">
        <f t="shared" ref="F25:F29" si="3">C25/$C$3*10</f>
        <v>13</v>
      </c>
      <c r="G25" s="6" t="s">
        <v>16</v>
      </c>
      <c r="I25" s="6">
        <f>I16+ROUNDDOWN(($I$21/2)*2,0)</f>
        <v>17</v>
      </c>
      <c r="J25" s="6"/>
    </row>
    <row r="26" spans="1:16" x14ac:dyDescent="0.3">
      <c r="A26" s="6" t="str">
        <f t="shared" si="2"/>
        <v>5XL</v>
      </c>
      <c r="B26" t="s">
        <v>40</v>
      </c>
      <c r="C26" s="6">
        <f>VLOOKUP(A26,Werte!$A$4:$AM$13,21,FALSE)</f>
        <v>88</v>
      </c>
      <c r="D26" s="6" t="s">
        <v>4</v>
      </c>
      <c r="F26" s="6">
        <f t="shared" si="3"/>
        <v>44</v>
      </c>
      <c r="G26" s="6" t="s">
        <v>16</v>
      </c>
      <c r="I26" s="8">
        <f>I17</f>
        <v>52</v>
      </c>
      <c r="J26" s="6"/>
    </row>
    <row r="27" spans="1:16" x14ac:dyDescent="0.3">
      <c r="A27" s="6" t="str">
        <f t="shared" si="2"/>
        <v>5XL</v>
      </c>
      <c r="B27" t="s">
        <v>41</v>
      </c>
      <c r="C27" s="6">
        <f>VLOOKUP(A27,Werte!$A$4:$AM$13,22,FALSE)</f>
        <v>26</v>
      </c>
      <c r="D27" s="6" t="s">
        <v>4</v>
      </c>
      <c r="F27" s="6">
        <f t="shared" si="3"/>
        <v>13</v>
      </c>
      <c r="G27" s="6" t="s">
        <v>16</v>
      </c>
      <c r="I27" s="6">
        <f>I18+ROUNDDOWN(($I$21/2)*2,0)</f>
        <v>17</v>
      </c>
      <c r="J27" s="6"/>
    </row>
    <row r="28" spans="1:16" x14ac:dyDescent="0.3">
      <c r="A28" s="6" t="str">
        <f t="shared" si="2"/>
        <v>5XL</v>
      </c>
      <c r="B28" t="s">
        <v>48</v>
      </c>
      <c r="C28" s="6">
        <f>VLOOKUP(A28,Werte!$A$4:$AM$13,23,FALSE)</f>
        <v>29</v>
      </c>
      <c r="D28" s="6" t="s">
        <v>4</v>
      </c>
      <c r="F28" s="6">
        <f t="shared" si="3"/>
        <v>14.5</v>
      </c>
      <c r="G28" s="6" t="s">
        <v>16</v>
      </c>
      <c r="I28" s="6">
        <f>I19+ROUNDDOWN($I$21/4,0)</f>
        <v>17</v>
      </c>
      <c r="J28" s="6"/>
    </row>
    <row r="29" spans="1:16" x14ac:dyDescent="0.3">
      <c r="B29" s="27" t="s">
        <v>43</v>
      </c>
      <c r="C29" s="6">
        <f>SUM(C24:C28)</f>
        <v>198</v>
      </c>
      <c r="D29" s="6" t="s">
        <v>4</v>
      </c>
      <c r="F29" s="6">
        <f t="shared" si="3"/>
        <v>99</v>
      </c>
      <c r="G29" s="6" t="s">
        <v>16</v>
      </c>
      <c r="I29" s="6">
        <f>SUM(I24:I28)</f>
        <v>120</v>
      </c>
      <c r="J29" s="6"/>
    </row>
    <row r="30" spans="1:16" ht="6.75" customHeight="1" x14ac:dyDescent="0.3">
      <c r="B30" s="27"/>
      <c r="C30" s="6"/>
      <c r="D30" s="6"/>
      <c r="F30" s="6"/>
      <c r="G30" s="6"/>
      <c r="I30" s="6"/>
      <c r="J30" s="6"/>
    </row>
    <row r="31" spans="1:16" x14ac:dyDescent="0.3">
      <c r="A31" s="6" t="str">
        <f t="shared" ref="A31:A41" si="4">$M$2</f>
        <v>5XL</v>
      </c>
      <c r="B31" s="2" t="s">
        <v>49</v>
      </c>
      <c r="C31" s="6">
        <f>VLOOKUP(A31,Werte!$A$4:$AM$13,26,FALSE)</f>
        <v>48</v>
      </c>
      <c r="D31" s="6" t="s">
        <v>5</v>
      </c>
      <c r="F31" s="6">
        <f>C31/D3*10</f>
        <v>16</v>
      </c>
      <c r="G31" s="6" t="s">
        <v>16</v>
      </c>
      <c r="I31" s="6">
        <f>VLOOKUP(A31,Werte!$A$4:$AH$13,34,FALSE)</f>
        <v>28</v>
      </c>
      <c r="J31" s="6" t="s">
        <v>5</v>
      </c>
      <c r="L31">
        <f>F31*J3/10</f>
        <v>28.8</v>
      </c>
    </row>
    <row r="32" spans="1:16" x14ac:dyDescent="0.3">
      <c r="A32" s="6" t="str">
        <f t="shared" si="4"/>
        <v>5XL</v>
      </c>
      <c r="C32" s="6">
        <f>VLOOKUP(A32,Werte!$A$4:$AM$13,27,FALSE)</f>
        <v>414</v>
      </c>
      <c r="D32" s="6" t="s">
        <v>4</v>
      </c>
      <c r="F32" s="6">
        <f t="shared" ref="F32:F38" si="5">C32/$C$3*10</f>
        <v>207</v>
      </c>
      <c r="G32" s="6" t="s">
        <v>16</v>
      </c>
      <c r="I32" s="6">
        <f>ROUND(F32*$I$3/10,0)</f>
        <v>238</v>
      </c>
      <c r="J32" s="6" t="s">
        <v>4</v>
      </c>
    </row>
    <row r="33" spans="1:11" x14ac:dyDescent="0.3">
      <c r="A33" s="6" t="str">
        <f t="shared" si="4"/>
        <v>5XL</v>
      </c>
      <c r="B33" t="s">
        <v>47</v>
      </c>
      <c r="C33" s="6">
        <f>VLOOKUP(A33,Werte!$A$4:$AM$13,28,FALSE)</f>
        <v>65</v>
      </c>
      <c r="D33" s="6"/>
      <c r="F33" s="6">
        <f t="shared" si="5"/>
        <v>32.5</v>
      </c>
      <c r="G33" s="6" t="s">
        <v>16</v>
      </c>
      <c r="I33">
        <f>I24+(I31/4)*3</f>
        <v>38</v>
      </c>
      <c r="J33" s="6"/>
      <c r="K33" s="6"/>
    </row>
    <row r="34" spans="1:11" x14ac:dyDescent="0.3">
      <c r="A34" s="6" t="str">
        <f t="shared" si="4"/>
        <v>5XL</v>
      </c>
      <c r="B34" t="s">
        <v>39</v>
      </c>
      <c r="C34" s="6">
        <f>VLOOKUP(A34,Werte!$A$4:$AM$13,29,FALSE)</f>
        <v>74</v>
      </c>
      <c r="D34" s="6"/>
      <c r="F34" s="6">
        <f t="shared" si="5"/>
        <v>37</v>
      </c>
      <c r="G34" s="6" t="s">
        <v>16</v>
      </c>
      <c r="I34">
        <f>I25+(I31/4)*4</f>
        <v>45</v>
      </c>
      <c r="J34" s="6"/>
      <c r="K34" s="6"/>
    </row>
    <row r="35" spans="1:11" x14ac:dyDescent="0.3">
      <c r="A35" s="6" t="str">
        <f t="shared" si="4"/>
        <v>5XL</v>
      </c>
      <c r="B35" t="s">
        <v>40</v>
      </c>
      <c r="C35" s="6">
        <f>VLOOKUP(A35,Werte!$A$4:$AM$13,30,FALSE)</f>
        <v>136</v>
      </c>
      <c r="D35" s="6"/>
      <c r="F35" s="6">
        <f t="shared" si="5"/>
        <v>68</v>
      </c>
      <c r="G35" s="6" t="s">
        <v>16</v>
      </c>
      <c r="I35">
        <f>I26+(I31/4)*4</f>
        <v>80</v>
      </c>
      <c r="J35" s="6"/>
      <c r="K35" s="6"/>
    </row>
    <row r="36" spans="1:11" x14ac:dyDescent="0.3">
      <c r="A36" s="6" t="str">
        <f t="shared" si="4"/>
        <v>5XL</v>
      </c>
      <c r="B36" t="s">
        <v>41</v>
      </c>
      <c r="C36" s="6">
        <f>VLOOKUP(A36,Werte!$A$4:$AM$13,31,FALSE)</f>
        <v>74</v>
      </c>
      <c r="D36" s="6"/>
      <c r="F36" s="6">
        <f t="shared" si="5"/>
        <v>37</v>
      </c>
      <c r="G36" s="6" t="s">
        <v>16</v>
      </c>
      <c r="I36">
        <f>I27+(I31/4)*4</f>
        <v>45</v>
      </c>
      <c r="J36" s="6"/>
      <c r="K36" s="6"/>
    </row>
    <row r="37" spans="1:11" x14ac:dyDescent="0.3">
      <c r="A37" s="6" t="str">
        <f t="shared" si="4"/>
        <v>5XL</v>
      </c>
      <c r="B37" t="s">
        <v>48</v>
      </c>
      <c r="C37" s="6">
        <f>VLOOKUP(A37,Werte!$A$4:$AM$13,32,FALSE)</f>
        <v>65</v>
      </c>
      <c r="D37" s="6"/>
      <c r="F37" s="6">
        <f t="shared" si="5"/>
        <v>32.5</v>
      </c>
      <c r="G37" s="6" t="s">
        <v>16</v>
      </c>
      <c r="I37">
        <f>I28+(I31/4)*3</f>
        <v>38</v>
      </c>
      <c r="J37" s="6"/>
      <c r="K37" s="6"/>
    </row>
    <row r="38" spans="1:11" x14ac:dyDescent="0.3">
      <c r="A38" s="6" t="str">
        <f t="shared" si="4"/>
        <v>5XL</v>
      </c>
      <c r="B38" s="27" t="s">
        <v>43</v>
      </c>
      <c r="C38" s="6">
        <f>SUM(C33:C37)</f>
        <v>414</v>
      </c>
      <c r="D38" s="6"/>
      <c r="F38" s="6">
        <f t="shared" si="5"/>
        <v>207</v>
      </c>
      <c r="G38" s="6" t="s">
        <v>16</v>
      </c>
      <c r="I38" s="6">
        <f>SUM(I33:I37)</f>
        <v>246</v>
      </c>
      <c r="J38" s="6"/>
    </row>
    <row r="39" spans="1:11" x14ac:dyDescent="0.3">
      <c r="A39" s="6" t="str">
        <f t="shared" si="4"/>
        <v>5XL</v>
      </c>
      <c r="B39" t="s">
        <v>50</v>
      </c>
      <c r="C39" s="6"/>
      <c r="D39" s="6"/>
      <c r="F39" s="6"/>
      <c r="G39" s="6"/>
      <c r="I39" s="6"/>
      <c r="J39" s="6"/>
    </row>
    <row r="40" spans="1:11" x14ac:dyDescent="0.3">
      <c r="A40" s="6" t="str">
        <f t="shared" si="4"/>
        <v>5XL</v>
      </c>
      <c r="B40" t="s">
        <v>51</v>
      </c>
      <c r="C40" s="6">
        <v>8</v>
      </c>
      <c r="D40" s="6"/>
      <c r="F40" s="6">
        <f>C40/C3*10</f>
        <v>4</v>
      </c>
      <c r="G40" s="6" t="s">
        <v>16</v>
      </c>
      <c r="I40" s="6">
        <f>ROUND(F40*$I$3/10,0)</f>
        <v>5</v>
      </c>
      <c r="J40" s="6"/>
    </row>
    <row r="41" spans="1:11" x14ac:dyDescent="0.3">
      <c r="A41" s="6" t="str">
        <f t="shared" si="4"/>
        <v>5XL</v>
      </c>
      <c r="B41" t="s">
        <v>52</v>
      </c>
      <c r="C41" s="6">
        <v>234</v>
      </c>
      <c r="D41" s="6"/>
      <c r="F41" s="6">
        <f>C41/C3*10</f>
        <v>117</v>
      </c>
      <c r="G41" s="6"/>
      <c r="I41" s="6"/>
      <c r="J41" s="6"/>
    </row>
    <row r="42" spans="1:11" x14ac:dyDescent="0.3">
      <c r="B42" t="s">
        <v>53</v>
      </c>
      <c r="C42" s="6"/>
      <c r="D42" s="6"/>
      <c r="F42" s="6"/>
      <c r="G42" s="6"/>
      <c r="I42" s="6"/>
      <c r="J42" s="6"/>
    </row>
    <row r="43" spans="1:11" x14ac:dyDescent="0.3">
      <c r="A43" s="6" t="str">
        <f>$M$2</f>
        <v>5XL</v>
      </c>
      <c r="B43" t="s">
        <v>54</v>
      </c>
      <c r="C43" s="6">
        <v>78</v>
      </c>
      <c r="D43" s="6"/>
      <c r="F43" s="6">
        <f>C43/$C$3*10</f>
        <v>39</v>
      </c>
      <c r="G43" s="6"/>
      <c r="I43" s="6">
        <f>ROUND(F43*$I$3/10,0)</f>
        <v>45</v>
      </c>
      <c r="J43" s="6"/>
    </row>
    <row r="44" spans="1:11" x14ac:dyDescent="0.3">
      <c r="C44" s="6">
        <v>68</v>
      </c>
      <c r="D44" s="6"/>
      <c r="F44" s="6">
        <f>C44/$C$3*10</f>
        <v>34</v>
      </c>
      <c r="G44" s="6"/>
      <c r="I44" s="6">
        <f>ROUND(F44*$I$3/10,0)</f>
        <v>39</v>
      </c>
      <c r="J44" s="6"/>
    </row>
  </sheetData>
  <mergeCells count="2">
    <mergeCell ref="C1:D1"/>
    <mergeCell ref="I1:J1"/>
  </mergeCells>
  <conditionalFormatting sqref="I3:J3">
    <cfRule type="expression" dxfId="1" priority="1">
      <formula>ISBLANK(I3)</formula>
    </cfRule>
  </conditionalFormatting>
  <pageMargins left="0.7" right="0.7" top="0.78740157499999996" bottom="0.78740157499999996" header="0.3" footer="0.3"/>
  <customProperties>
    <customPr name="_pios_id" r:id="rId1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06D624-7155-46BC-BBCF-5F24EED2644F}">
          <x14:formula1>
            <xm:f>Werte!$A$4:$A$13</xm:f>
          </x14:formula1>
          <xm:sqref>M2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738A-A1A5-4FB8-A9EF-6D84154A9B1D}">
  <sheetPr>
    <pageSetUpPr fitToPage="1"/>
  </sheetPr>
  <dimension ref="A1:L81"/>
  <sheetViews>
    <sheetView showGridLines="0" showRowColHeaders="0" tabSelected="1" zoomScale="120" zoomScaleNormal="120" workbookViewId="0">
      <selection activeCell="M28" sqref="M28"/>
    </sheetView>
  </sheetViews>
  <sheetFormatPr baseColWidth="10" defaultColWidth="0" defaultRowHeight="14.4" zeroHeight="1" x14ac:dyDescent="0.3"/>
  <cols>
    <col min="1" max="1" width="11.44140625" style="6" customWidth="1"/>
    <col min="2" max="2" width="24" customWidth="1"/>
    <col min="3" max="4" width="12" bestFit="1" customWidth="1"/>
    <col min="5" max="5" width="3.6640625" customWidth="1"/>
    <col min="6" max="8" width="5.6640625" customWidth="1"/>
    <col min="9" max="9" width="11.44140625" customWidth="1"/>
    <col min="10" max="10" width="12" bestFit="1" customWidth="1"/>
    <col min="11" max="11" width="13" bestFit="1" customWidth="1"/>
    <col min="12" max="12" width="11.44140625" customWidth="1"/>
    <col min="13" max="13" width="14.109375" bestFit="1" customWidth="1"/>
    <col min="14" max="16384" width="11.44140625" hidden="1"/>
  </cols>
  <sheetData>
    <row r="1" spans="1:10" ht="25.8" x14ac:dyDescent="0.5">
      <c r="B1" s="33" t="s">
        <v>55</v>
      </c>
      <c r="C1" s="34"/>
      <c r="D1" s="34"/>
      <c r="E1" s="34"/>
      <c r="F1" s="34"/>
      <c r="G1" s="34"/>
      <c r="H1" s="34"/>
      <c r="I1" s="34"/>
      <c r="J1" s="34"/>
    </row>
    <row r="2" spans="1:10" ht="15" customHeight="1" x14ac:dyDescent="0.3">
      <c r="A2" s="36" t="s">
        <v>125</v>
      </c>
      <c r="B2" s="37"/>
      <c r="C2" s="38"/>
      <c r="D2" s="38"/>
      <c r="E2" s="38"/>
      <c r="F2" s="38"/>
      <c r="G2" s="38"/>
      <c r="H2" s="38"/>
      <c r="I2" s="38"/>
      <c r="J2" s="38"/>
    </row>
    <row r="3" spans="1:10" ht="15" customHeight="1" x14ac:dyDescent="0.3">
      <c r="A3" s="36" t="s">
        <v>115</v>
      </c>
      <c r="B3" s="37"/>
      <c r="C3" s="38"/>
      <c r="D3" s="38"/>
      <c r="E3" s="38"/>
      <c r="F3" s="38"/>
      <c r="G3" s="38"/>
      <c r="H3" s="38"/>
      <c r="I3" s="38"/>
      <c r="J3" s="38"/>
    </row>
    <row r="4" spans="1:10" ht="15" customHeight="1" x14ac:dyDescent="0.3">
      <c r="A4" s="36" t="s">
        <v>116</v>
      </c>
      <c r="B4" s="37"/>
      <c r="C4" s="38"/>
      <c r="D4" s="38"/>
      <c r="E4" s="38"/>
      <c r="F4" s="38"/>
      <c r="G4" s="38"/>
      <c r="H4" s="38"/>
      <c r="I4" s="38"/>
      <c r="J4" s="38"/>
    </row>
    <row r="5" spans="1:10" ht="15" customHeight="1" x14ac:dyDescent="0.3">
      <c r="A5" s="36" t="s">
        <v>117</v>
      </c>
      <c r="B5" s="37"/>
      <c r="C5" s="38"/>
      <c r="D5" s="38"/>
      <c r="E5" s="38"/>
      <c r="F5" s="38"/>
      <c r="G5" s="38"/>
      <c r="H5" s="38"/>
      <c r="I5" s="38"/>
      <c r="J5" s="38"/>
    </row>
    <row r="6" spans="1:10" ht="15" customHeight="1" x14ac:dyDescent="0.3">
      <c r="A6" s="36" t="s">
        <v>118</v>
      </c>
      <c r="B6" s="37"/>
      <c r="C6" s="38"/>
      <c r="D6" s="38"/>
      <c r="E6" s="38"/>
      <c r="F6" s="38"/>
      <c r="G6" s="38"/>
      <c r="H6" s="38"/>
      <c r="I6" s="38"/>
      <c r="J6" s="38"/>
    </row>
    <row r="7" spans="1:10" ht="15" customHeight="1" x14ac:dyDescent="0.3">
      <c r="A7" s="36" t="s">
        <v>119</v>
      </c>
      <c r="B7" s="37"/>
      <c r="C7" s="38"/>
      <c r="D7" s="38"/>
      <c r="E7" s="38"/>
      <c r="F7" s="38"/>
      <c r="G7" s="38"/>
      <c r="H7" s="38"/>
      <c r="I7" s="38"/>
      <c r="J7" s="38"/>
    </row>
    <row r="8" spans="1:10" s="39" customFormat="1" ht="15" customHeight="1" x14ac:dyDescent="0.3">
      <c r="A8" s="36" t="s">
        <v>120</v>
      </c>
      <c r="B8" s="37"/>
      <c r="C8" s="38"/>
      <c r="D8" s="38"/>
      <c r="E8" s="38"/>
      <c r="F8" s="38"/>
      <c r="G8" s="38"/>
      <c r="H8" s="38"/>
      <c r="I8" s="38"/>
      <c r="J8" s="38"/>
    </row>
    <row r="9" spans="1:10" ht="15" customHeight="1" x14ac:dyDescent="0.3">
      <c r="A9" s="36" t="s">
        <v>121</v>
      </c>
      <c r="B9" s="37"/>
      <c r="C9" s="38"/>
      <c r="D9" s="38"/>
      <c r="E9" s="38"/>
      <c r="F9" s="38"/>
      <c r="G9" s="38"/>
      <c r="H9" s="38"/>
      <c r="I9" s="38"/>
      <c r="J9" s="38"/>
    </row>
    <row r="10" spans="1:10" x14ac:dyDescent="0.3">
      <c r="D10" t="s">
        <v>7</v>
      </c>
    </row>
    <row r="11" spans="1:10" x14ac:dyDescent="0.3">
      <c r="D11" s="13" t="s">
        <v>4</v>
      </c>
      <c r="E11" s="23" t="s">
        <v>8</v>
      </c>
      <c r="F11" s="24"/>
      <c r="G11" s="25"/>
      <c r="H11" s="13" t="s">
        <v>20</v>
      </c>
      <c r="I11" s="13" t="s">
        <v>21</v>
      </c>
    </row>
    <row r="12" spans="1:10" x14ac:dyDescent="0.3">
      <c r="D12" s="13" t="s">
        <v>5</v>
      </c>
      <c r="E12" s="23" t="s">
        <v>10</v>
      </c>
      <c r="F12" s="24"/>
      <c r="G12" s="25"/>
      <c r="H12" s="13" t="s">
        <v>23</v>
      </c>
      <c r="I12" s="13" t="s">
        <v>24</v>
      </c>
    </row>
    <row r="13" spans="1:10" x14ac:dyDescent="0.3">
      <c r="D13" s="13" t="s">
        <v>13</v>
      </c>
      <c r="E13" s="23" t="s">
        <v>14</v>
      </c>
      <c r="F13" s="24"/>
      <c r="G13" s="25"/>
      <c r="H13" s="13" t="s">
        <v>26</v>
      </c>
      <c r="I13" s="13" t="s">
        <v>27</v>
      </c>
    </row>
    <row r="14" spans="1:10" ht="15" customHeight="1" thickBot="1" x14ac:dyDescent="0.35">
      <c r="B14" t="s">
        <v>56</v>
      </c>
      <c r="D14" s="13" t="s">
        <v>17</v>
      </c>
      <c r="E14" s="23" t="s">
        <v>18</v>
      </c>
      <c r="F14" s="24"/>
      <c r="G14" s="25"/>
      <c r="H14" s="13" t="s">
        <v>29</v>
      </c>
      <c r="I14" s="13" t="s">
        <v>30</v>
      </c>
    </row>
    <row r="15" spans="1:10" ht="15" thickBot="1" x14ac:dyDescent="0.35">
      <c r="B15" s="21" t="s">
        <v>4</v>
      </c>
      <c r="D15" s="13"/>
      <c r="E15" s="23"/>
      <c r="F15" s="24"/>
      <c r="G15" s="25"/>
      <c r="H15" s="13" t="s">
        <v>32</v>
      </c>
      <c r="I15" s="13" t="s">
        <v>33</v>
      </c>
    </row>
    <row r="16" spans="1:10" x14ac:dyDescent="0.3"/>
    <row r="17" spans="1:11" x14ac:dyDescent="0.3"/>
    <row r="18" spans="1:11" x14ac:dyDescent="0.3">
      <c r="C18" s="28" t="s">
        <v>1</v>
      </c>
      <c r="D18" s="29"/>
      <c r="I18" s="28" t="s">
        <v>2</v>
      </c>
      <c r="J18" s="29"/>
    </row>
    <row r="19" spans="1:11" x14ac:dyDescent="0.3">
      <c r="C19" s="5" t="s">
        <v>4</v>
      </c>
      <c r="D19" s="5" t="s">
        <v>5</v>
      </c>
      <c r="I19" s="5" t="s">
        <v>4</v>
      </c>
      <c r="J19" s="5" t="s">
        <v>5</v>
      </c>
    </row>
    <row r="20" spans="1:11" x14ac:dyDescent="0.3">
      <c r="C20" s="5">
        <v>20</v>
      </c>
      <c r="D20" s="5">
        <v>30</v>
      </c>
      <c r="I20" s="22">
        <v>14</v>
      </c>
      <c r="J20" s="22">
        <v>18</v>
      </c>
    </row>
    <row r="21" spans="1:11" x14ac:dyDescent="0.3">
      <c r="A21" s="27" t="s">
        <v>9</v>
      </c>
    </row>
    <row r="22" spans="1:11" ht="15.6" x14ac:dyDescent="0.3">
      <c r="B22" s="4" t="s">
        <v>11</v>
      </c>
    </row>
    <row r="23" spans="1:11" x14ac:dyDescent="0.3">
      <c r="A23" s="5" t="str">
        <f>$B$15</f>
        <v>M</v>
      </c>
      <c r="B23" s="13" t="s">
        <v>58</v>
      </c>
      <c r="C23" s="5">
        <f>VLOOKUP(A23,Werte!$A$4:$AM$13,2,FALSE)</f>
        <v>34</v>
      </c>
      <c r="D23" s="26" t="s">
        <v>4</v>
      </c>
      <c r="E23" s="18"/>
      <c r="F23" s="40">
        <f>C23/20*10</f>
        <v>17</v>
      </c>
      <c r="G23" s="41" t="s">
        <v>16</v>
      </c>
      <c r="H23" s="25"/>
      <c r="I23" s="5">
        <f>ROUND(F23*$I$20/10,0)</f>
        <v>24</v>
      </c>
      <c r="J23" s="5" t="s">
        <v>4</v>
      </c>
    </row>
    <row r="24" spans="1:11" x14ac:dyDescent="0.3">
      <c r="A24" s="5" t="str">
        <f>$B$15</f>
        <v>M</v>
      </c>
      <c r="B24" s="13" t="s">
        <v>19</v>
      </c>
      <c r="C24" s="5">
        <f>VLOOKUP(A24,Werte!$A$4:$AM$13,4,FALSE)</f>
        <v>22</v>
      </c>
      <c r="D24" s="26" t="s">
        <v>5</v>
      </c>
      <c r="E24" s="18"/>
      <c r="F24" s="42">
        <f>C24/D20*10</f>
        <v>7.333333333333333</v>
      </c>
      <c r="G24" s="41" t="s">
        <v>16</v>
      </c>
      <c r="H24" s="25"/>
      <c r="I24" s="5">
        <f>IF(OR(A24="M",A24="L"),EVEN(ROUNDDOWN(F24*$J$20/10,0))-2,EVEN(ROUNDDOWN(F24*$J$20/10,0)))</f>
        <v>12</v>
      </c>
      <c r="J24" s="5" t="s">
        <v>5</v>
      </c>
    </row>
    <row r="25" spans="1:11" x14ac:dyDescent="0.3">
      <c r="A25" s="5" t="str">
        <f>$B$15</f>
        <v>M</v>
      </c>
      <c r="B25" s="13" t="s">
        <v>22</v>
      </c>
      <c r="C25" s="5">
        <f>VLOOKUP(A25,Werte!$A$4:$AM$13,5,FALSE)</f>
        <v>78</v>
      </c>
      <c r="D25" s="26" t="s">
        <v>4</v>
      </c>
      <c r="E25" s="25"/>
      <c r="F25" s="40">
        <f>C25/C20*10</f>
        <v>39</v>
      </c>
      <c r="G25" s="41" t="s">
        <v>16</v>
      </c>
      <c r="H25" s="25"/>
      <c r="I25" s="14">
        <f>I24*2+I23</f>
        <v>48</v>
      </c>
      <c r="J25" s="5" t="s">
        <v>4</v>
      </c>
    </row>
    <row r="26" spans="1:11" ht="15.6" x14ac:dyDescent="0.3">
      <c r="B26" s="4" t="s">
        <v>25</v>
      </c>
      <c r="C26" s="6"/>
      <c r="D26" s="6"/>
      <c r="F26" s="43"/>
      <c r="G26" s="43"/>
      <c r="I26" s="6"/>
      <c r="J26" s="6"/>
    </row>
    <row r="27" spans="1:11" x14ac:dyDescent="0.3">
      <c r="A27" s="5" t="str">
        <f>$B$15</f>
        <v>M</v>
      </c>
      <c r="B27" s="13" t="s">
        <v>28</v>
      </c>
      <c r="C27" s="5">
        <f>VLOOKUP(A27,Werte!$A$4:$AM$13,6,FALSE)</f>
        <v>23</v>
      </c>
      <c r="D27" s="26" t="s">
        <v>4</v>
      </c>
      <c r="E27" s="25"/>
      <c r="F27" s="40">
        <f>C27/C20*10</f>
        <v>11.5</v>
      </c>
      <c r="G27" s="41" t="s">
        <v>16</v>
      </c>
      <c r="H27" s="25"/>
      <c r="I27" s="5">
        <f>I24+1</f>
        <v>13</v>
      </c>
      <c r="J27" s="5" t="s">
        <v>4</v>
      </c>
      <c r="K27" s="10"/>
    </row>
    <row r="28" spans="1:11" x14ac:dyDescent="0.3">
      <c r="A28" s="5" t="str">
        <f>$B$15</f>
        <v>M</v>
      </c>
      <c r="B28" s="13" t="s">
        <v>31</v>
      </c>
      <c r="C28" s="5">
        <f>VLOOKUP(A28,Werte!$A$4:$AM$13,8,FALSE)</f>
        <v>24</v>
      </c>
      <c r="D28" s="26" t="s">
        <v>5</v>
      </c>
      <c r="E28" s="25"/>
      <c r="F28" s="42">
        <f>C28/D20*10</f>
        <v>8</v>
      </c>
      <c r="G28" s="41" t="s">
        <v>16</v>
      </c>
      <c r="H28" s="25"/>
      <c r="I28" s="5">
        <f>EVEN(ROUND(F28*$J$20/10,0))</f>
        <v>14</v>
      </c>
      <c r="J28" s="5" t="s">
        <v>5</v>
      </c>
    </row>
    <row r="29" spans="1:11" ht="15.6" x14ac:dyDescent="0.3">
      <c r="B29" s="4" t="s">
        <v>34</v>
      </c>
      <c r="C29" s="6" t="s">
        <v>35</v>
      </c>
      <c r="D29" s="6"/>
      <c r="F29" s="6"/>
      <c r="G29" s="6"/>
      <c r="I29" s="6"/>
      <c r="J29" s="6"/>
    </row>
    <row r="30" spans="1:11" x14ac:dyDescent="0.3">
      <c r="C30" s="6"/>
      <c r="D30" s="6"/>
      <c r="F30" s="6"/>
      <c r="G30" s="6"/>
      <c r="I30" s="6"/>
      <c r="J30" s="6"/>
    </row>
    <row r="31" spans="1:11" x14ac:dyDescent="0.3">
      <c r="A31" s="5" t="str">
        <f>$B$15</f>
        <v>M</v>
      </c>
      <c r="B31" s="13" t="s">
        <v>38</v>
      </c>
      <c r="C31" s="5">
        <f>VLOOKUP(A31,Werte!$A$4:$AM$13,9,FALSE)</f>
        <v>18</v>
      </c>
      <c r="D31" s="26" t="s">
        <v>4</v>
      </c>
      <c r="E31" s="25"/>
      <c r="F31" s="40">
        <f>C31/$C$20*10</f>
        <v>9</v>
      </c>
      <c r="G31" s="41" t="s">
        <v>16</v>
      </c>
      <c r="H31" s="25"/>
      <c r="I31" s="5">
        <f>ROUND(F31*$I$20/10,0)</f>
        <v>13</v>
      </c>
      <c r="J31" s="5" t="s">
        <v>4</v>
      </c>
    </row>
    <row r="32" spans="1:11" ht="15.6" x14ac:dyDescent="0.3">
      <c r="B32" s="4" t="s">
        <v>36</v>
      </c>
      <c r="C32" s="6"/>
      <c r="D32" s="6"/>
      <c r="F32" s="6"/>
      <c r="G32" s="6"/>
      <c r="I32" s="6"/>
      <c r="J32" s="6"/>
    </row>
    <row r="33" spans="1:11" x14ac:dyDescent="0.3">
      <c r="A33" s="5" t="str">
        <f>$B$15</f>
        <v>M</v>
      </c>
      <c r="B33" s="13" t="s">
        <v>34</v>
      </c>
      <c r="C33" s="5">
        <f>VLOOKUP(A33,Werte!$A$4:$AM$13,10,FALSE)</f>
        <v>22</v>
      </c>
      <c r="D33" s="26" t="s">
        <v>4</v>
      </c>
      <c r="E33" s="25"/>
      <c r="F33" s="40">
        <f t="shared" ref="F33:F40" si="0">C33/$C$20*10</f>
        <v>11</v>
      </c>
      <c r="G33" s="41" t="s">
        <v>16</v>
      </c>
      <c r="H33" s="25"/>
      <c r="I33" s="5">
        <f>I27-1</f>
        <v>12</v>
      </c>
      <c r="J33" s="5" t="s">
        <v>4</v>
      </c>
    </row>
    <row r="34" spans="1:11" x14ac:dyDescent="0.3">
      <c r="A34" s="5" t="str">
        <f>$B$15</f>
        <v>M</v>
      </c>
      <c r="B34" s="13" t="s">
        <v>39</v>
      </c>
      <c r="C34" s="5">
        <f>VLOOKUP(A34,Werte!$A$4:$AM$13,11,FALSE)</f>
        <v>18</v>
      </c>
      <c r="D34" s="26" t="s">
        <v>4</v>
      </c>
      <c r="E34" s="25"/>
      <c r="F34" s="40">
        <f t="shared" si="0"/>
        <v>9</v>
      </c>
      <c r="G34" s="41" t="s">
        <v>16</v>
      </c>
      <c r="H34" s="25"/>
      <c r="I34" s="5">
        <f>ROUND(F34*$I$20/10,0)</f>
        <v>13</v>
      </c>
      <c r="J34" s="5" t="s">
        <v>4</v>
      </c>
    </row>
    <row r="35" spans="1:11" x14ac:dyDescent="0.3">
      <c r="A35" s="5" t="str">
        <f>$B$15</f>
        <v>M</v>
      </c>
      <c r="B35" s="13" t="s">
        <v>40</v>
      </c>
      <c r="C35" s="5">
        <f>VLOOKUP(A35,Werte!$A$4:$AM$13,12,FALSE)</f>
        <v>76</v>
      </c>
      <c r="D35" s="26" t="s">
        <v>4</v>
      </c>
      <c r="E35" s="25"/>
      <c r="F35" s="40">
        <f t="shared" si="0"/>
        <v>38</v>
      </c>
      <c r="G35" s="41" t="s">
        <v>16</v>
      </c>
      <c r="H35" s="25"/>
      <c r="I35" s="14">
        <f>I25</f>
        <v>48</v>
      </c>
      <c r="J35" s="5" t="s">
        <v>4</v>
      </c>
    </row>
    <row r="36" spans="1:11" x14ac:dyDescent="0.3">
      <c r="A36" s="5" t="str">
        <f>$B$15</f>
        <v>M</v>
      </c>
      <c r="B36" s="13" t="s">
        <v>41</v>
      </c>
      <c r="C36" s="5">
        <f>VLOOKUP(A36,Werte!$A$4:$AM$13,13,FALSE)</f>
        <v>18</v>
      </c>
      <c r="D36" s="26" t="s">
        <v>4</v>
      </c>
      <c r="E36" s="25"/>
      <c r="F36" s="40">
        <f t="shared" si="0"/>
        <v>9</v>
      </c>
      <c r="G36" s="41" t="s">
        <v>16</v>
      </c>
      <c r="H36" s="25"/>
      <c r="I36" s="5">
        <f>ROUND(F36*$I$20/10,0)</f>
        <v>13</v>
      </c>
      <c r="J36" s="5" t="s">
        <v>4</v>
      </c>
    </row>
    <row r="37" spans="1:11" x14ac:dyDescent="0.3">
      <c r="A37" s="5" t="str">
        <f>$B$15</f>
        <v>M</v>
      </c>
      <c r="B37" s="13" t="s">
        <v>42</v>
      </c>
      <c r="C37" s="5">
        <f>VLOOKUP(A37,Werte!$A$4:$AM$13,14,FALSE)</f>
        <v>22</v>
      </c>
      <c r="D37" s="26" t="s">
        <v>4</v>
      </c>
      <c r="E37" s="25"/>
      <c r="F37" s="40">
        <f t="shared" si="0"/>
        <v>11</v>
      </c>
      <c r="G37" s="41" t="s">
        <v>16</v>
      </c>
      <c r="H37" s="25"/>
      <c r="I37" s="5">
        <f>I27-1</f>
        <v>12</v>
      </c>
      <c r="J37" s="5" t="s">
        <v>4</v>
      </c>
    </row>
    <row r="38" spans="1:11" x14ac:dyDescent="0.3">
      <c r="B38" s="16" t="s">
        <v>43</v>
      </c>
      <c r="C38" s="5">
        <f>C33+C34+C35+C36+C37</f>
        <v>156</v>
      </c>
      <c r="D38" s="26" t="s">
        <v>4</v>
      </c>
      <c r="E38" s="25"/>
      <c r="F38" s="40">
        <f t="shared" si="0"/>
        <v>78</v>
      </c>
      <c r="G38" s="41" t="s">
        <v>16</v>
      </c>
      <c r="H38" s="25"/>
      <c r="I38" s="14">
        <f>I33+I34+I35+I36+I37</f>
        <v>98</v>
      </c>
      <c r="J38" s="5" t="s">
        <v>4</v>
      </c>
    </row>
    <row r="39" spans="1:11" x14ac:dyDescent="0.3">
      <c r="A39" s="5" t="str">
        <f>$B$15</f>
        <v>M</v>
      </c>
      <c r="B39" s="15" t="s">
        <v>44</v>
      </c>
      <c r="C39" s="5">
        <f>VLOOKUP(A39,Werte!$A$4:$AM$13,17,FALSE)</f>
        <v>16</v>
      </c>
      <c r="D39" s="26" t="s">
        <v>5</v>
      </c>
      <c r="E39" s="25"/>
      <c r="F39" s="42">
        <f>C39/D20*10</f>
        <v>5.333333333333333</v>
      </c>
      <c r="G39" s="41" t="s">
        <v>16</v>
      </c>
      <c r="H39" s="25"/>
      <c r="I39" s="5">
        <f>IF(MOD(ROUND(F39*$J$20/10,0),2)&lt;&gt;0,ROUND(F39*$J$20/10,0)+1,ROUND(F39*J20/10,0))</f>
        <v>10</v>
      </c>
      <c r="J39" s="5" t="s">
        <v>5</v>
      </c>
    </row>
    <row r="40" spans="1:11" hidden="1" x14ac:dyDescent="0.3">
      <c r="A40" s="6" t="str">
        <f>$B$15</f>
        <v>M</v>
      </c>
      <c r="B40" t="s">
        <v>45</v>
      </c>
      <c r="C40" s="6">
        <f>VLOOKUP(A40,Werte!$A$4:$AM$13,18,FALSE)</f>
        <v>196</v>
      </c>
      <c r="D40" s="6" t="s">
        <v>4</v>
      </c>
      <c r="F40" s="6">
        <f t="shared" si="0"/>
        <v>98</v>
      </c>
      <c r="G40" s="6" t="s">
        <v>16</v>
      </c>
      <c r="I40" s="8">
        <f>I38+IF(MOD(I39,4)=0,(I39/4)*10,INT(I39/4)*10+4)</f>
        <v>122</v>
      </c>
      <c r="J40" s="6" t="s">
        <v>4</v>
      </c>
    </row>
    <row r="41" spans="1:11" x14ac:dyDescent="0.3">
      <c r="B41" s="2" t="s">
        <v>46</v>
      </c>
      <c r="C41" s="6"/>
      <c r="D41" s="6"/>
      <c r="F41" s="6"/>
      <c r="G41" s="6"/>
      <c r="I41" s="6"/>
      <c r="J41" s="6"/>
    </row>
    <row r="42" spans="1:11" x14ac:dyDescent="0.3">
      <c r="A42" s="5" t="str">
        <f>$B$15</f>
        <v>M</v>
      </c>
      <c r="B42" s="13" t="s">
        <v>47</v>
      </c>
      <c r="C42" s="5">
        <f>VLOOKUP(A42,Werte!$A$4:$AM$13,19,FALSE)</f>
        <v>26</v>
      </c>
      <c r="D42" s="26" t="s">
        <v>4</v>
      </c>
      <c r="E42" s="25"/>
      <c r="F42" s="40">
        <f>C42/$C$20*10</f>
        <v>13</v>
      </c>
      <c r="G42" s="41" t="s">
        <v>16</v>
      </c>
      <c r="H42" s="25"/>
      <c r="I42" s="5">
        <f>I33+ROUNDDOWN($I$39/4,0)</f>
        <v>14</v>
      </c>
      <c r="J42" s="5" t="str">
        <f>D42</f>
        <v>M</v>
      </c>
    </row>
    <row r="43" spans="1:11" x14ac:dyDescent="0.3">
      <c r="A43" s="5" t="str">
        <f>$B$15</f>
        <v>M</v>
      </c>
      <c r="B43" s="13" t="s">
        <v>39</v>
      </c>
      <c r="C43" s="5">
        <f>VLOOKUP(A43,Werte!$A$4:$AM$13,20,FALSE)</f>
        <v>34</v>
      </c>
      <c r="D43" s="26" t="s">
        <v>4</v>
      </c>
      <c r="E43" s="25"/>
      <c r="F43" s="40">
        <f t="shared" ref="F43:F47" si="1">C43/$C$20*10</f>
        <v>17</v>
      </c>
      <c r="G43" s="41" t="s">
        <v>16</v>
      </c>
      <c r="H43" s="25"/>
      <c r="I43" s="5">
        <f>I34+ROUNDDOWN(($I$39/2)*2,0)</f>
        <v>23</v>
      </c>
      <c r="J43" s="5" t="str">
        <f t="shared" ref="J43:J47" si="2">D43</f>
        <v>M</v>
      </c>
    </row>
    <row r="44" spans="1:11" x14ac:dyDescent="0.3">
      <c r="A44" s="5" t="str">
        <f>$B$15</f>
        <v>M</v>
      </c>
      <c r="B44" s="13" t="s">
        <v>40</v>
      </c>
      <c r="C44" s="5">
        <f>VLOOKUP(A44,Werte!$A$4:$AM$13,21,FALSE)</f>
        <v>76</v>
      </c>
      <c r="D44" s="26" t="s">
        <v>4</v>
      </c>
      <c r="E44" s="25"/>
      <c r="F44" s="40">
        <f t="shared" si="1"/>
        <v>38</v>
      </c>
      <c r="G44" s="41" t="s">
        <v>16</v>
      </c>
      <c r="H44" s="25"/>
      <c r="I44" s="14">
        <f>I35</f>
        <v>48</v>
      </c>
      <c r="J44" s="5" t="str">
        <f t="shared" si="2"/>
        <v>M</v>
      </c>
    </row>
    <row r="45" spans="1:11" x14ac:dyDescent="0.3">
      <c r="A45" s="5" t="str">
        <f>$B$15</f>
        <v>M</v>
      </c>
      <c r="B45" s="13" t="s">
        <v>41</v>
      </c>
      <c r="C45" s="5">
        <f>VLOOKUP(A45,Werte!$A$4:$AM$13,22,FALSE)</f>
        <v>34</v>
      </c>
      <c r="D45" s="26" t="s">
        <v>4</v>
      </c>
      <c r="E45" s="25"/>
      <c r="F45" s="40">
        <f t="shared" si="1"/>
        <v>17</v>
      </c>
      <c r="G45" s="41" t="s">
        <v>16</v>
      </c>
      <c r="H45" s="25"/>
      <c r="I45" s="5">
        <f>I36+ROUNDDOWN(($I$39/2)*2,0)</f>
        <v>23</v>
      </c>
      <c r="J45" s="5" t="str">
        <f t="shared" si="2"/>
        <v>M</v>
      </c>
    </row>
    <row r="46" spans="1:11" x14ac:dyDescent="0.3">
      <c r="A46" s="5" t="str">
        <f>$B$15</f>
        <v>M</v>
      </c>
      <c r="B46" s="13" t="s">
        <v>48</v>
      </c>
      <c r="C46" s="5">
        <f>VLOOKUP(A46,Werte!$A$4:$AM$13,23,FALSE)</f>
        <v>26</v>
      </c>
      <c r="D46" s="26" t="s">
        <v>4</v>
      </c>
      <c r="E46" s="25"/>
      <c r="F46" s="40">
        <f t="shared" si="1"/>
        <v>13</v>
      </c>
      <c r="G46" s="41" t="s">
        <v>16</v>
      </c>
      <c r="H46" s="25"/>
      <c r="I46" s="5">
        <f>I37+ROUNDDOWN($I$39/4,0)</f>
        <v>14</v>
      </c>
      <c r="J46" s="5" t="str">
        <f t="shared" si="2"/>
        <v>M</v>
      </c>
    </row>
    <row r="47" spans="1:11" x14ac:dyDescent="0.3">
      <c r="A47" s="5"/>
      <c r="B47" s="16" t="s">
        <v>43</v>
      </c>
      <c r="C47" s="5">
        <f>SUM(C42:C46)</f>
        <v>196</v>
      </c>
      <c r="D47" s="26" t="s">
        <v>4</v>
      </c>
      <c r="E47" s="25"/>
      <c r="F47" s="40">
        <f t="shared" si="1"/>
        <v>98</v>
      </c>
      <c r="G47" s="41" t="s">
        <v>16</v>
      </c>
      <c r="H47" s="25"/>
      <c r="I47" s="5">
        <f>SUM(I42:I46)</f>
        <v>122</v>
      </c>
      <c r="J47" s="5" t="str">
        <f t="shared" si="2"/>
        <v>M</v>
      </c>
      <c r="K47" s="12"/>
    </row>
    <row r="48" spans="1:11" ht="6.75" customHeight="1" x14ac:dyDescent="0.3">
      <c r="B48" s="27"/>
      <c r="C48" s="6"/>
      <c r="D48" s="6"/>
      <c r="F48" s="6"/>
      <c r="G48" s="6"/>
      <c r="I48" s="6"/>
      <c r="J48" s="6"/>
    </row>
    <row r="49" spans="1:12" ht="15.6" x14ac:dyDescent="0.3">
      <c r="A49" s="5" t="str">
        <f t="shared" ref="A49:A58" si="3">$B$15</f>
        <v>M</v>
      </c>
      <c r="B49" s="17" t="s">
        <v>49</v>
      </c>
      <c r="C49" s="5">
        <f>VLOOKUP(A49,Werte!$A$4:$AM$13,26,FALSE)</f>
        <v>36</v>
      </c>
      <c r="D49" s="26" t="s">
        <v>5</v>
      </c>
      <c r="E49" s="25"/>
      <c r="F49" s="40">
        <f>C49/D20*10</f>
        <v>12</v>
      </c>
      <c r="G49" s="41" t="s">
        <v>16</v>
      </c>
      <c r="H49" s="25"/>
      <c r="I49" s="5">
        <f>VLOOKUP(A49,Werte!$A$4:$AH$13,34,FALSE)</f>
        <v>20</v>
      </c>
      <c r="J49" s="5" t="s">
        <v>5</v>
      </c>
    </row>
    <row r="50" spans="1:12" x14ac:dyDescent="0.3">
      <c r="A50" s="5" t="str">
        <f t="shared" si="3"/>
        <v>M</v>
      </c>
      <c r="B50" s="13" t="s">
        <v>47</v>
      </c>
      <c r="C50" s="5">
        <f>VLOOKUP(A50,Werte!$A$4:$AM$13,28,FALSE)</f>
        <v>53</v>
      </c>
      <c r="D50" s="26" t="s">
        <v>4</v>
      </c>
      <c r="E50" s="25"/>
      <c r="F50" s="40">
        <f t="shared" ref="F50:F55" si="4">C50/$C$20*10</f>
        <v>26.5</v>
      </c>
      <c r="G50" s="41" t="s">
        <v>16</v>
      </c>
      <c r="H50" s="25"/>
      <c r="I50" s="5">
        <f>ROUNDDOWN((I42+(I49/4)*3),0)</f>
        <v>29</v>
      </c>
      <c r="J50" s="5" t="str">
        <f>D50</f>
        <v>M</v>
      </c>
      <c r="K50" s="8"/>
      <c r="L50" s="3"/>
    </row>
    <row r="51" spans="1:12" x14ac:dyDescent="0.3">
      <c r="A51" s="5" t="str">
        <f t="shared" si="3"/>
        <v>M</v>
      </c>
      <c r="B51" s="13" t="s">
        <v>39</v>
      </c>
      <c r="C51" s="5">
        <f>VLOOKUP(A51,Werte!$A$4:$AM$13,29,FALSE)</f>
        <v>70</v>
      </c>
      <c r="D51" s="26" t="s">
        <v>4</v>
      </c>
      <c r="E51" s="25"/>
      <c r="F51" s="40">
        <f t="shared" si="4"/>
        <v>35</v>
      </c>
      <c r="G51" s="41" t="s">
        <v>16</v>
      </c>
      <c r="H51" s="25"/>
      <c r="I51" s="5">
        <f>I43+(I49/4)*4</f>
        <v>43</v>
      </c>
      <c r="J51" s="5" t="str">
        <f t="shared" ref="J51:J55" si="5">D51</f>
        <v>M</v>
      </c>
      <c r="K51" s="8"/>
      <c r="L51" s="3"/>
    </row>
    <row r="52" spans="1:12" x14ac:dyDescent="0.3">
      <c r="A52" s="5" t="str">
        <f t="shared" si="3"/>
        <v>M</v>
      </c>
      <c r="B52" s="13" t="s">
        <v>40</v>
      </c>
      <c r="C52" s="5">
        <f>VLOOKUP(A52,Werte!$A$4:$AM$13,30,FALSE)</f>
        <v>112</v>
      </c>
      <c r="D52" s="26" t="s">
        <v>4</v>
      </c>
      <c r="E52" s="25"/>
      <c r="F52" s="40">
        <f t="shared" si="4"/>
        <v>56</v>
      </c>
      <c r="G52" s="41" t="s">
        <v>16</v>
      </c>
      <c r="H52" s="25"/>
      <c r="I52" s="5">
        <f>I44+(I49/4)*4</f>
        <v>68</v>
      </c>
      <c r="J52" s="5" t="str">
        <f t="shared" si="5"/>
        <v>M</v>
      </c>
      <c r="K52" s="8"/>
      <c r="L52" s="3"/>
    </row>
    <row r="53" spans="1:12" x14ac:dyDescent="0.3">
      <c r="A53" s="5" t="str">
        <f t="shared" si="3"/>
        <v>M</v>
      </c>
      <c r="B53" s="13" t="s">
        <v>41</v>
      </c>
      <c r="C53" s="5">
        <f>VLOOKUP(A53,Werte!$A$4:$AM$13,31,FALSE)</f>
        <v>70</v>
      </c>
      <c r="D53" s="26" t="s">
        <v>4</v>
      </c>
      <c r="E53" s="25"/>
      <c r="F53" s="40">
        <f t="shared" si="4"/>
        <v>35</v>
      </c>
      <c r="G53" s="41" t="s">
        <v>16</v>
      </c>
      <c r="H53" s="25"/>
      <c r="I53" s="5">
        <f>I45+(I49/4)*4</f>
        <v>43</v>
      </c>
      <c r="J53" s="5" t="str">
        <f t="shared" si="5"/>
        <v>M</v>
      </c>
      <c r="K53" s="8"/>
      <c r="L53" s="3"/>
    </row>
    <row r="54" spans="1:12" x14ac:dyDescent="0.3">
      <c r="A54" s="5" t="str">
        <f t="shared" si="3"/>
        <v>M</v>
      </c>
      <c r="B54" s="13" t="s">
        <v>48</v>
      </c>
      <c r="C54" s="5">
        <f>VLOOKUP(A54,Werte!$A$4:$AM$13,32,FALSE)</f>
        <v>53</v>
      </c>
      <c r="D54" s="26" t="s">
        <v>4</v>
      </c>
      <c r="E54" s="25"/>
      <c r="F54" s="40">
        <f t="shared" si="4"/>
        <v>26.5</v>
      </c>
      <c r="G54" s="41" t="s">
        <v>16</v>
      </c>
      <c r="H54" s="25"/>
      <c r="I54" s="5">
        <f>ROUNDDOWN((I46+(I49/4)*3),0)</f>
        <v>29</v>
      </c>
      <c r="J54" s="5" t="str">
        <f t="shared" si="5"/>
        <v>M</v>
      </c>
      <c r="K54" s="8"/>
      <c r="L54" s="3"/>
    </row>
    <row r="55" spans="1:12" x14ac:dyDescent="0.3">
      <c r="A55" s="5" t="str">
        <f t="shared" si="3"/>
        <v>M</v>
      </c>
      <c r="B55" s="16" t="s">
        <v>43</v>
      </c>
      <c r="C55" s="5">
        <f>SUM(C50:C54)</f>
        <v>358</v>
      </c>
      <c r="D55" s="26" t="s">
        <v>4</v>
      </c>
      <c r="E55" s="25"/>
      <c r="F55" s="40">
        <f t="shared" si="4"/>
        <v>179</v>
      </c>
      <c r="G55" s="41" t="s">
        <v>16</v>
      </c>
      <c r="H55" s="25"/>
      <c r="I55" s="5">
        <f>SUM(I50:I54)</f>
        <v>212</v>
      </c>
      <c r="J55" s="5" t="str">
        <f t="shared" si="5"/>
        <v>M</v>
      </c>
      <c r="K55" s="8"/>
      <c r="L55" s="3"/>
    </row>
    <row r="56" spans="1:12" x14ac:dyDescent="0.3">
      <c r="A56" s="5" t="str">
        <f t="shared" si="3"/>
        <v>M</v>
      </c>
      <c r="B56" s="13" t="s">
        <v>50</v>
      </c>
      <c r="C56" s="5"/>
      <c r="D56" s="26"/>
      <c r="E56" s="25"/>
      <c r="F56" s="5"/>
      <c r="G56" s="26"/>
      <c r="H56" s="25"/>
      <c r="I56" s="5"/>
      <c r="J56" s="5"/>
    </row>
    <row r="57" spans="1:12" x14ac:dyDescent="0.3">
      <c r="A57" s="5" t="str">
        <f t="shared" si="3"/>
        <v>M</v>
      </c>
      <c r="B57" s="13" t="s">
        <v>51</v>
      </c>
      <c r="C57" s="5">
        <f>VLOOKUP(A57,Werte!$A$4:$AM$13,36,FALSE)</f>
        <v>8</v>
      </c>
      <c r="D57" s="26" t="s">
        <v>4</v>
      </c>
      <c r="E57" s="25"/>
      <c r="F57" s="40">
        <f>C57/C20*10</f>
        <v>4</v>
      </c>
      <c r="G57" s="41" t="s">
        <v>16</v>
      </c>
      <c r="H57" s="25"/>
      <c r="I57" s="5">
        <f>ROUND(F57*$I$20/10,0)</f>
        <v>6</v>
      </c>
      <c r="J57" s="5" t="s">
        <v>4</v>
      </c>
    </row>
    <row r="58" spans="1:12" x14ac:dyDescent="0.3">
      <c r="A58" s="5" t="str">
        <f t="shared" si="3"/>
        <v>M</v>
      </c>
      <c r="B58" s="13" t="s">
        <v>52</v>
      </c>
      <c r="C58" s="5">
        <f>C50+C52+C54+C57+C57</f>
        <v>234</v>
      </c>
      <c r="D58" s="26" t="s">
        <v>4</v>
      </c>
      <c r="E58" s="25"/>
      <c r="F58" s="40">
        <f>C58/C20*10</f>
        <v>117</v>
      </c>
      <c r="G58" s="41"/>
      <c r="H58" s="25"/>
      <c r="I58" s="5">
        <f>I50+I52+I54+I57+I57</f>
        <v>138</v>
      </c>
      <c r="J58" s="5" t="s">
        <v>4</v>
      </c>
      <c r="K58" s="8"/>
    </row>
    <row r="59" spans="1:12" x14ac:dyDescent="0.3">
      <c r="B59" t="s">
        <v>59</v>
      </c>
      <c r="C59" s="6"/>
      <c r="D59" s="6"/>
      <c r="F59" s="6"/>
      <c r="G59" s="6"/>
      <c r="I59" s="6"/>
      <c r="J59" s="6"/>
    </row>
    <row r="60" spans="1:12" x14ac:dyDescent="0.3">
      <c r="B60" t="s">
        <v>60</v>
      </c>
      <c r="C60" s="6"/>
      <c r="D60" s="6"/>
      <c r="F60" s="6"/>
      <c r="G60" s="6"/>
      <c r="I60" s="6"/>
      <c r="J60" s="6"/>
    </row>
    <row r="61" spans="1:12" x14ac:dyDescent="0.3">
      <c r="C61" s="6"/>
      <c r="D61" s="6"/>
      <c r="F61" s="6"/>
      <c r="G61" s="6"/>
      <c r="I61" s="6"/>
      <c r="J61" s="6"/>
    </row>
    <row r="62" spans="1:12" ht="15.6" x14ac:dyDescent="0.3">
      <c r="B62" s="4" t="s">
        <v>61</v>
      </c>
      <c r="C62" s="6"/>
      <c r="D62" s="6"/>
      <c r="F62" s="6"/>
      <c r="G62" s="6"/>
      <c r="I62" s="6"/>
      <c r="J62" s="6"/>
    </row>
    <row r="63" spans="1:12" x14ac:dyDescent="0.3">
      <c r="A63" s="5" t="str">
        <f>$B$15</f>
        <v>M</v>
      </c>
      <c r="B63" s="13" t="s">
        <v>62</v>
      </c>
      <c r="C63" s="5">
        <f>VLOOKUP(A63,Werte!$A$4:$AM$13,37,FALSE)</f>
        <v>78</v>
      </c>
      <c r="D63" s="5" t="s">
        <v>4</v>
      </c>
      <c r="E63" s="13"/>
      <c r="F63" s="40">
        <f>C63/$C$20*10</f>
        <v>39</v>
      </c>
      <c r="G63" s="40" t="s">
        <v>16</v>
      </c>
      <c r="H63" s="13"/>
      <c r="I63" s="5">
        <f>I51+I57</f>
        <v>49</v>
      </c>
      <c r="J63" s="5" t="s">
        <v>4</v>
      </c>
    </row>
    <row r="64" spans="1:12" x14ac:dyDescent="0.3">
      <c r="A64" s="5" t="str">
        <f>$B$15</f>
        <v>M</v>
      </c>
      <c r="B64" s="13" t="s">
        <v>63</v>
      </c>
      <c r="C64" s="5">
        <f>(C63-C65)/2</f>
        <v>5</v>
      </c>
      <c r="D64" s="5"/>
      <c r="E64" s="13"/>
      <c r="F64" s="5"/>
      <c r="G64" s="5"/>
      <c r="H64" s="13"/>
      <c r="I64" s="5">
        <f>(I63-I65)/2</f>
        <v>4.5</v>
      </c>
      <c r="J64" s="20" t="s">
        <v>122</v>
      </c>
    </row>
    <row r="65" spans="1:11" x14ac:dyDescent="0.3">
      <c r="A65" s="5" t="str">
        <f>$B$15</f>
        <v>M</v>
      </c>
      <c r="B65" s="13" t="s">
        <v>65</v>
      </c>
      <c r="C65" s="5">
        <f>VLOOKUP(A65,Werte!$A$4:$AM$13,39,FALSE)</f>
        <v>68</v>
      </c>
      <c r="D65" s="5" t="s">
        <v>4</v>
      </c>
      <c r="E65" s="13"/>
      <c r="F65" s="40">
        <f>C65/$C$20*10</f>
        <v>34</v>
      </c>
      <c r="G65" s="40" t="s">
        <v>16</v>
      </c>
      <c r="H65" s="13"/>
      <c r="I65" s="16">
        <f>VLOOKUP(A65,Werte!$4:$13,41,FALSE)</f>
        <v>40</v>
      </c>
      <c r="J65" s="5" t="s">
        <v>4</v>
      </c>
      <c r="K65" t="s">
        <v>123</v>
      </c>
    </row>
    <row r="66" spans="1:11" x14ac:dyDescent="0.3">
      <c r="A66" s="5" t="str">
        <f>$B$15</f>
        <v>M</v>
      </c>
      <c r="B66" s="13" t="s">
        <v>66</v>
      </c>
      <c r="C66" s="5">
        <f>VLOOKUP(A66,Werte!$A$4:$AM$13,38,FALSE)</f>
        <v>30</v>
      </c>
      <c r="D66" s="5" t="s">
        <v>16</v>
      </c>
      <c r="E66" s="13"/>
      <c r="F66" s="13"/>
      <c r="G66" s="5"/>
      <c r="H66" s="13"/>
      <c r="I66" s="5">
        <f>C66</f>
        <v>30</v>
      </c>
      <c r="J66" s="5" t="s">
        <v>16</v>
      </c>
      <c r="K66" t="s">
        <v>124</v>
      </c>
    </row>
    <row r="67" spans="1:11" x14ac:dyDescent="0.3">
      <c r="A67" s="5" t="str">
        <f>$B$15</f>
        <v>M</v>
      </c>
      <c r="B67" s="13" t="s">
        <v>67</v>
      </c>
      <c r="C67" s="5">
        <f>VLOOKUP(A67,Werte!$A$4:$AN$13,40,FALSE)</f>
        <v>15</v>
      </c>
      <c r="D67" s="5" t="s">
        <v>68</v>
      </c>
      <c r="E67" s="13"/>
      <c r="F67" s="13"/>
      <c r="G67" s="13"/>
      <c r="H67" s="13"/>
      <c r="I67" s="5">
        <f>ROUNDDOWN((ROUNDDOWN(I66*J20/10,0)/ROUNDUP(I64,0)),0)</f>
        <v>10</v>
      </c>
      <c r="J67" s="5" t="s">
        <v>68</v>
      </c>
    </row>
    <row r="68" spans="1:11" x14ac:dyDescent="0.3">
      <c r="B68" s="20" t="s">
        <v>64</v>
      </c>
      <c r="D68" s="6"/>
    </row>
    <row r="69" spans="1:11" ht="15.6" x14ac:dyDescent="0.3">
      <c r="B69" s="4" t="s">
        <v>69</v>
      </c>
    </row>
    <row r="70" spans="1:11" x14ac:dyDescent="0.3">
      <c r="B70" t="s">
        <v>70</v>
      </c>
    </row>
    <row r="71" spans="1:11" x14ac:dyDescent="0.3">
      <c r="B71" t="s">
        <v>71</v>
      </c>
    </row>
    <row r="72" spans="1:11" x14ac:dyDescent="0.3">
      <c r="B72" t="s">
        <v>72</v>
      </c>
    </row>
    <row r="73" spans="1:11" x14ac:dyDescent="0.3"/>
    <row r="74" spans="1:11" x14ac:dyDescent="0.3">
      <c r="B74" t="s">
        <v>73</v>
      </c>
      <c r="D74" s="19" t="s">
        <v>74</v>
      </c>
    </row>
    <row r="75" spans="1:11" x14ac:dyDescent="0.3">
      <c r="B75" s="13" t="s">
        <v>75</v>
      </c>
      <c r="C75" s="13" t="s">
        <v>16</v>
      </c>
      <c r="D75" s="13" t="s">
        <v>76</v>
      </c>
      <c r="E75" s="13" t="s">
        <v>77</v>
      </c>
      <c r="F75" s="13"/>
      <c r="G75" s="13"/>
    </row>
    <row r="76" spans="1:11" x14ac:dyDescent="0.3">
      <c r="B76" s="5">
        <v>20</v>
      </c>
      <c r="C76" s="13">
        <v>10</v>
      </c>
      <c r="D76" s="13">
        <v>240</v>
      </c>
      <c r="E76" s="30">
        <f>D76/B76*10</f>
        <v>120</v>
      </c>
      <c r="F76" s="31"/>
      <c r="G76" s="32"/>
      <c r="H76" t="s">
        <v>16</v>
      </c>
    </row>
    <row r="77" spans="1:11" x14ac:dyDescent="0.3"/>
    <row r="78" spans="1:11" x14ac:dyDescent="0.3">
      <c r="B78" t="s">
        <v>78</v>
      </c>
      <c r="D78" t="s">
        <v>79</v>
      </c>
    </row>
    <row r="79" spans="1:11" x14ac:dyDescent="0.3">
      <c r="B79" s="13" t="s">
        <v>75</v>
      </c>
      <c r="C79" s="13" t="s">
        <v>16</v>
      </c>
      <c r="D79" s="13" t="s">
        <v>80</v>
      </c>
      <c r="E79" s="13" t="s">
        <v>77</v>
      </c>
      <c r="F79" s="13"/>
      <c r="G79" s="13"/>
    </row>
    <row r="80" spans="1:11" x14ac:dyDescent="0.3">
      <c r="B80" s="22">
        <v>20</v>
      </c>
      <c r="C80" s="13">
        <v>10</v>
      </c>
      <c r="D80" s="13">
        <f>E80*B80/10</f>
        <v>240</v>
      </c>
      <c r="E80" s="44">
        <v>120</v>
      </c>
      <c r="F80" s="45"/>
      <c r="G80" s="46"/>
      <c r="H80" t="s">
        <v>16</v>
      </c>
    </row>
    <row r="81" x14ac:dyDescent="0.3"/>
  </sheetData>
  <sheetProtection algorithmName="SHA-512" hashValue="UpmVSh5b3ChFU/p0Bo4LG7GfByYU761hIvgV/MyGPKjeBKEzmpv3OSw5BllnTbAs7lfn49F3/zkOdO65aKsUfA==" saltValue="7nv/ROXHAqxmeG76VMspqg==" spinCount="100000" sheet="1" objects="1" scenarios="1"/>
  <mergeCells count="5">
    <mergeCell ref="C18:D18"/>
    <mergeCell ref="I18:J18"/>
    <mergeCell ref="E76:G76"/>
    <mergeCell ref="E80:G80"/>
    <mergeCell ref="B1:J1"/>
  </mergeCells>
  <conditionalFormatting sqref="I20:J20">
    <cfRule type="expression" dxfId="0" priority="1">
      <formula>ISBLANK(I20)</formula>
    </cfRule>
  </conditionalFormatting>
  <pageMargins left="1" right="1" top="1" bottom="1" header="0.5" footer="0.5"/>
  <pageSetup paperSize="9" scale="5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291C79-F92D-44EE-BCA8-129423704DAE}">
          <x14:formula1>
            <xm:f>Werte!$A$4:$A$13</xm:f>
          </x14:formula1>
          <xm:sqref>B15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2E78-6031-4004-BFEB-7CA0A591544E}">
  <dimension ref="A1:AO13"/>
  <sheetViews>
    <sheetView topLeftCell="C1" workbookViewId="0">
      <selection activeCell="AG4" sqref="AG4"/>
    </sheetView>
  </sheetViews>
  <sheetFormatPr baseColWidth="10" defaultColWidth="11.44140625" defaultRowHeight="14.4" x14ac:dyDescent="0.3"/>
  <cols>
    <col min="8" max="8" width="16.33203125" bestFit="1" customWidth="1"/>
    <col min="9" max="9" width="11.88671875" bestFit="1" customWidth="1"/>
    <col min="10" max="10" width="9.6640625" bestFit="1" customWidth="1"/>
    <col min="11" max="11" width="3.6640625" bestFit="1" customWidth="1"/>
    <col min="12" max="12" width="3.33203125" bestFit="1" customWidth="1"/>
    <col min="13" max="13" width="4.33203125" bestFit="1" customWidth="1"/>
    <col min="14" max="14" width="10.33203125" bestFit="1" customWidth="1"/>
    <col min="15" max="15" width="5" bestFit="1" customWidth="1"/>
    <col min="16" max="16" width="7.6640625" customWidth="1"/>
    <col min="17" max="17" width="5.44140625" bestFit="1" customWidth="1"/>
    <col min="18" max="18" width="6.109375" bestFit="1" customWidth="1"/>
    <col min="19" max="24" width="6.109375" customWidth="1"/>
    <col min="26" max="26" width="10.88671875" bestFit="1" customWidth="1"/>
    <col min="27" max="27" width="6.109375" bestFit="1" customWidth="1"/>
    <col min="28" max="28" width="7.44140625" customWidth="1"/>
    <col min="29" max="29" width="3.6640625" bestFit="1" customWidth="1"/>
    <col min="30" max="30" width="4.109375" bestFit="1" customWidth="1"/>
    <col min="31" max="31" width="4.33203125" bestFit="1" customWidth="1"/>
    <col min="32" max="32" width="5.33203125" bestFit="1" customWidth="1"/>
    <col min="33" max="33" width="5" bestFit="1" customWidth="1"/>
  </cols>
  <sheetData>
    <row r="1" spans="1:41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 s="1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</row>
    <row r="2" spans="1:41" x14ac:dyDescent="0.3">
      <c r="B2" t="s">
        <v>11</v>
      </c>
      <c r="F2" t="s">
        <v>25</v>
      </c>
      <c r="I2" t="s">
        <v>36</v>
      </c>
      <c r="P2" t="s">
        <v>81</v>
      </c>
      <c r="S2" s="35" t="s">
        <v>82</v>
      </c>
      <c r="T2" s="35"/>
      <c r="U2" s="35"/>
      <c r="V2" s="35"/>
      <c r="W2" s="35"/>
      <c r="X2" s="35"/>
      <c r="Y2" t="s">
        <v>83</v>
      </c>
      <c r="AB2" s="35" t="s">
        <v>82</v>
      </c>
      <c r="AC2" s="35"/>
      <c r="AD2" s="35"/>
      <c r="AE2" s="35"/>
      <c r="AF2" s="35"/>
      <c r="AG2" s="35"/>
      <c r="AH2" s="11" t="s">
        <v>84</v>
      </c>
      <c r="AI2" s="11" t="s">
        <v>85</v>
      </c>
      <c r="AJ2" t="s">
        <v>86</v>
      </c>
      <c r="AK2" t="s">
        <v>87</v>
      </c>
      <c r="AL2" t="s">
        <v>66</v>
      </c>
      <c r="AM2" t="s">
        <v>88</v>
      </c>
      <c r="AN2" t="s">
        <v>89</v>
      </c>
      <c r="AO2" t="s">
        <v>90</v>
      </c>
    </row>
    <row r="3" spans="1:41" x14ac:dyDescent="0.3">
      <c r="B3" t="s">
        <v>91</v>
      </c>
      <c r="C3" t="s">
        <v>92</v>
      </c>
      <c r="D3" t="s">
        <v>93</v>
      </c>
      <c r="E3" t="s">
        <v>94</v>
      </c>
      <c r="F3" t="s">
        <v>95</v>
      </c>
      <c r="G3" t="s">
        <v>96</v>
      </c>
      <c r="H3" t="s">
        <v>97</v>
      </c>
      <c r="I3" t="s">
        <v>98</v>
      </c>
      <c r="J3" t="s">
        <v>99</v>
      </c>
      <c r="K3" t="s">
        <v>100</v>
      </c>
      <c r="L3" t="s">
        <v>101</v>
      </c>
      <c r="M3" t="s">
        <v>102</v>
      </c>
      <c r="N3" t="s">
        <v>42</v>
      </c>
      <c r="O3" t="s">
        <v>43</v>
      </c>
      <c r="P3" t="s">
        <v>103</v>
      </c>
      <c r="Q3" t="s">
        <v>104</v>
      </c>
      <c r="R3" t="s">
        <v>45</v>
      </c>
      <c r="S3" t="s">
        <v>105</v>
      </c>
      <c r="T3" t="s">
        <v>100</v>
      </c>
      <c r="U3" t="s">
        <v>101</v>
      </c>
      <c r="V3" t="s">
        <v>102</v>
      </c>
      <c r="W3" t="s">
        <v>106</v>
      </c>
      <c r="X3" t="s">
        <v>43</v>
      </c>
      <c r="Y3" t="s">
        <v>103</v>
      </c>
      <c r="Z3" t="s">
        <v>107</v>
      </c>
      <c r="AA3" t="s">
        <v>45</v>
      </c>
      <c r="AB3" t="s">
        <v>105</v>
      </c>
      <c r="AC3" t="s">
        <v>100</v>
      </c>
      <c r="AD3" t="s">
        <v>101</v>
      </c>
      <c r="AE3" t="s">
        <v>102</v>
      </c>
      <c r="AF3" t="s">
        <v>106</v>
      </c>
      <c r="AG3" t="s">
        <v>43</v>
      </c>
    </row>
    <row r="4" spans="1:41" x14ac:dyDescent="0.3">
      <c r="A4" t="s">
        <v>108</v>
      </c>
      <c r="B4">
        <v>34</v>
      </c>
      <c r="C4">
        <v>9</v>
      </c>
      <c r="D4">
        <f>C4*2</f>
        <v>18</v>
      </c>
      <c r="E4">
        <v>70</v>
      </c>
      <c r="F4">
        <v>19</v>
      </c>
      <c r="G4">
        <v>12</v>
      </c>
      <c r="H4">
        <f>G4*2</f>
        <v>24</v>
      </c>
      <c r="I4">
        <v>18</v>
      </c>
      <c r="J4">
        <v>18</v>
      </c>
      <c r="K4">
        <v>18</v>
      </c>
      <c r="L4">
        <v>68</v>
      </c>
      <c r="M4">
        <v>18</v>
      </c>
      <c r="N4">
        <v>18</v>
      </c>
      <c r="O4">
        <f>J4+K4+L4+M4+N4</f>
        <v>140</v>
      </c>
      <c r="P4">
        <v>4</v>
      </c>
      <c r="Q4">
        <f>P4*4</f>
        <v>16</v>
      </c>
      <c r="R4">
        <v>180</v>
      </c>
      <c r="S4">
        <v>22</v>
      </c>
      <c r="T4">
        <v>34</v>
      </c>
      <c r="U4">
        <v>68</v>
      </c>
      <c r="V4">
        <v>34</v>
      </c>
      <c r="W4">
        <v>22</v>
      </c>
      <c r="X4">
        <f>SUM(S4:W4)</f>
        <v>180</v>
      </c>
      <c r="Y4">
        <v>8</v>
      </c>
      <c r="Z4">
        <f>Y4*4</f>
        <v>32</v>
      </c>
      <c r="AA4">
        <v>324</v>
      </c>
      <c r="AB4">
        <v>46</v>
      </c>
      <c r="AC4">
        <v>66</v>
      </c>
      <c r="AD4">
        <v>100</v>
      </c>
      <c r="AE4">
        <v>66</v>
      </c>
      <c r="AF4">
        <v>46</v>
      </c>
      <c r="AG4">
        <f t="shared" ref="AG4:AG13" si="0">SUM(AB4:AF4)-AA4</f>
        <v>0</v>
      </c>
      <c r="AH4">
        <v>18</v>
      </c>
      <c r="AI4">
        <v>12</v>
      </c>
      <c r="AJ4">
        <v>6</v>
      </c>
      <c r="AK4">
        <v>72</v>
      </c>
      <c r="AL4">
        <v>28</v>
      </c>
      <c r="AM4">
        <v>64</v>
      </c>
      <c r="AN4">
        <v>17</v>
      </c>
      <c r="AO4">
        <v>36</v>
      </c>
    </row>
    <row r="5" spans="1:41" x14ac:dyDescent="0.3">
      <c r="A5" t="s">
        <v>57</v>
      </c>
      <c r="B5">
        <v>34</v>
      </c>
      <c r="C5">
        <v>10</v>
      </c>
      <c r="D5">
        <f>C5*2</f>
        <v>20</v>
      </c>
      <c r="E5">
        <v>74</v>
      </c>
      <c r="F5">
        <v>21</v>
      </c>
      <c r="G5">
        <v>12</v>
      </c>
      <c r="H5">
        <f t="shared" ref="H5:H13" si="1">G5*2</f>
        <v>24</v>
      </c>
      <c r="I5">
        <v>18</v>
      </c>
      <c r="J5">
        <v>20</v>
      </c>
      <c r="K5">
        <v>18</v>
      </c>
      <c r="L5">
        <v>72</v>
      </c>
      <c r="M5">
        <v>18</v>
      </c>
      <c r="N5">
        <v>20</v>
      </c>
      <c r="O5">
        <f t="shared" ref="O5:O13" si="2">J5+K5+L5+M5+N5</f>
        <v>148</v>
      </c>
      <c r="P5">
        <v>4</v>
      </c>
      <c r="Q5">
        <f t="shared" ref="Q5:Q13" si="3">P5*4</f>
        <v>16</v>
      </c>
      <c r="R5">
        <v>188</v>
      </c>
      <c r="S5">
        <v>24</v>
      </c>
      <c r="T5">
        <v>34</v>
      </c>
      <c r="U5">
        <v>72</v>
      </c>
      <c r="V5">
        <v>34</v>
      </c>
      <c r="W5">
        <v>24</v>
      </c>
      <c r="X5">
        <f t="shared" ref="X5:X13" si="4">SUM(S5:W5)</f>
        <v>188</v>
      </c>
      <c r="Y5">
        <v>8</v>
      </c>
      <c r="Z5">
        <f t="shared" ref="Z5:Z13" si="5">Y5*4</f>
        <v>32</v>
      </c>
      <c r="AA5">
        <v>332</v>
      </c>
      <c r="AB5">
        <v>48</v>
      </c>
      <c r="AC5">
        <v>66</v>
      </c>
      <c r="AD5">
        <v>104</v>
      </c>
      <c r="AE5">
        <v>66</v>
      </c>
      <c r="AF5">
        <v>48</v>
      </c>
      <c r="AG5">
        <f t="shared" si="0"/>
        <v>0</v>
      </c>
      <c r="AH5">
        <v>18</v>
      </c>
      <c r="AI5">
        <v>12</v>
      </c>
      <c r="AJ5">
        <v>8</v>
      </c>
      <c r="AK5">
        <v>74</v>
      </c>
      <c r="AL5">
        <v>28</v>
      </c>
      <c r="AM5">
        <v>64</v>
      </c>
      <c r="AN5">
        <v>14</v>
      </c>
      <c r="AO5">
        <v>36</v>
      </c>
    </row>
    <row r="6" spans="1:41" x14ac:dyDescent="0.3">
      <c r="A6" t="s">
        <v>109</v>
      </c>
      <c r="B6">
        <v>34</v>
      </c>
      <c r="C6">
        <v>10</v>
      </c>
      <c r="D6">
        <f t="shared" ref="D6:D13" si="6">C6*2</f>
        <v>20</v>
      </c>
      <c r="E6">
        <v>74</v>
      </c>
      <c r="F6">
        <v>21</v>
      </c>
      <c r="G6">
        <v>12</v>
      </c>
      <c r="H6">
        <f t="shared" si="1"/>
        <v>24</v>
      </c>
      <c r="I6">
        <v>18</v>
      </c>
      <c r="J6">
        <v>20</v>
      </c>
      <c r="K6">
        <v>18</v>
      </c>
      <c r="L6">
        <v>72</v>
      </c>
      <c r="M6">
        <v>18</v>
      </c>
      <c r="N6">
        <v>20</v>
      </c>
      <c r="O6">
        <f t="shared" si="2"/>
        <v>148</v>
      </c>
      <c r="P6">
        <v>4</v>
      </c>
      <c r="Q6">
        <f t="shared" si="3"/>
        <v>16</v>
      </c>
      <c r="R6">
        <v>188</v>
      </c>
      <c r="S6">
        <v>24</v>
      </c>
      <c r="T6">
        <v>34</v>
      </c>
      <c r="U6">
        <v>72</v>
      </c>
      <c r="V6">
        <v>34</v>
      </c>
      <c r="W6">
        <v>24</v>
      </c>
      <c r="X6">
        <f t="shared" si="4"/>
        <v>188</v>
      </c>
      <c r="Y6">
        <v>9</v>
      </c>
      <c r="Z6">
        <f t="shared" si="5"/>
        <v>36</v>
      </c>
      <c r="AA6">
        <v>350</v>
      </c>
      <c r="AB6">
        <v>51</v>
      </c>
      <c r="AC6">
        <v>70</v>
      </c>
      <c r="AD6">
        <v>108</v>
      </c>
      <c r="AE6">
        <v>70</v>
      </c>
      <c r="AF6">
        <v>51</v>
      </c>
      <c r="AG6">
        <f t="shared" si="0"/>
        <v>0</v>
      </c>
      <c r="AH6">
        <v>20</v>
      </c>
      <c r="AI6">
        <v>12</v>
      </c>
      <c r="AJ6">
        <v>8</v>
      </c>
      <c r="AK6">
        <v>78</v>
      </c>
      <c r="AL6">
        <v>29</v>
      </c>
      <c r="AM6">
        <v>68</v>
      </c>
      <c r="AN6">
        <v>15</v>
      </c>
      <c r="AO6">
        <v>40</v>
      </c>
    </row>
    <row r="7" spans="1:41" x14ac:dyDescent="0.3">
      <c r="A7" t="s">
        <v>4</v>
      </c>
      <c r="B7">
        <v>34</v>
      </c>
      <c r="C7">
        <v>11</v>
      </c>
      <c r="D7">
        <f t="shared" si="6"/>
        <v>22</v>
      </c>
      <c r="E7">
        <v>78</v>
      </c>
      <c r="F7">
        <v>23</v>
      </c>
      <c r="G7">
        <v>12</v>
      </c>
      <c r="H7">
        <f t="shared" si="1"/>
        <v>24</v>
      </c>
      <c r="I7">
        <v>18</v>
      </c>
      <c r="J7">
        <v>22</v>
      </c>
      <c r="K7">
        <v>18</v>
      </c>
      <c r="L7">
        <v>76</v>
      </c>
      <c r="M7">
        <v>18</v>
      </c>
      <c r="N7">
        <v>22</v>
      </c>
      <c r="O7">
        <f t="shared" si="2"/>
        <v>156</v>
      </c>
      <c r="P7">
        <v>4</v>
      </c>
      <c r="Q7">
        <f t="shared" si="3"/>
        <v>16</v>
      </c>
      <c r="R7">
        <v>196</v>
      </c>
      <c r="S7">
        <v>26</v>
      </c>
      <c r="T7">
        <v>34</v>
      </c>
      <c r="U7">
        <v>76</v>
      </c>
      <c r="V7">
        <v>34</v>
      </c>
      <c r="W7">
        <v>26</v>
      </c>
      <c r="X7">
        <f t="shared" si="4"/>
        <v>196</v>
      </c>
      <c r="Y7">
        <v>9</v>
      </c>
      <c r="Z7">
        <f t="shared" si="5"/>
        <v>36</v>
      </c>
      <c r="AA7">
        <v>358</v>
      </c>
      <c r="AB7">
        <v>53</v>
      </c>
      <c r="AC7">
        <v>70</v>
      </c>
      <c r="AD7">
        <v>112</v>
      </c>
      <c r="AE7">
        <v>70</v>
      </c>
      <c r="AF7">
        <v>53</v>
      </c>
      <c r="AG7">
        <f t="shared" si="0"/>
        <v>0</v>
      </c>
      <c r="AH7">
        <v>20</v>
      </c>
      <c r="AI7">
        <v>12</v>
      </c>
      <c r="AJ7">
        <v>8</v>
      </c>
      <c r="AK7">
        <v>78</v>
      </c>
      <c r="AL7">
        <v>30</v>
      </c>
      <c r="AM7">
        <v>68</v>
      </c>
      <c r="AN7">
        <v>15</v>
      </c>
      <c r="AO7">
        <v>40</v>
      </c>
    </row>
    <row r="8" spans="1:41" x14ac:dyDescent="0.3">
      <c r="A8" t="s">
        <v>110</v>
      </c>
      <c r="B8">
        <v>34</v>
      </c>
      <c r="C8">
        <v>11</v>
      </c>
      <c r="D8">
        <f t="shared" si="6"/>
        <v>22</v>
      </c>
      <c r="E8">
        <v>78</v>
      </c>
      <c r="F8">
        <v>23</v>
      </c>
      <c r="G8">
        <v>12</v>
      </c>
      <c r="H8">
        <f t="shared" si="1"/>
        <v>24</v>
      </c>
      <c r="I8">
        <v>20</v>
      </c>
      <c r="J8">
        <v>22</v>
      </c>
      <c r="K8">
        <v>20</v>
      </c>
      <c r="L8">
        <v>76</v>
      </c>
      <c r="M8">
        <v>20</v>
      </c>
      <c r="N8">
        <v>22</v>
      </c>
      <c r="O8">
        <f t="shared" si="2"/>
        <v>160</v>
      </c>
      <c r="P8">
        <v>3</v>
      </c>
      <c r="Q8">
        <f t="shared" si="3"/>
        <v>12</v>
      </c>
      <c r="R8">
        <v>190</v>
      </c>
      <c r="S8">
        <v>25</v>
      </c>
      <c r="T8">
        <v>32</v>
      </c>
      <c r="U8">
        <v>76</v>
      </c>
      <c r="V8">
        <v>32</v>
      </c>
      <c r="W8">
        <v>25</v>
      </c>
      <c r="X8">
        <f t="shared" si="4"/>
        <v>190</v>
      </c>
      <c r="Y8">
        <v>10</v>
      </c>
      <c r="Z8">
        <f t="shared" si="5"/>
        <v>40</v>
      </c>
      <c r="AA8">
        <v>370</v>
      </c>
      <c r="AB8">
        <v>55</v>
      </c>
      <c r="AC8">
        <v>72</v>
      </c>
      <c r="AD8">
        <v>116</v>
      </c>
      <c r="AE8">
        <v>72</v>
      </c>
      <c r="AF8">
        <v>55</v>
      </c>
      <c r="AG8">
        <f t="shared" si="0"/>
        <v>0</v>
      </c>
      <c r="AH8">
        <v>22</v>
      </c>
      <c r="AI8">
        <v>8</v>
      </c>
      <c r="AJ8">
        <v>10</v>
      </c>
      <c r="AK8">
        <v>82</v>
      </c>
      <c r="AL8">
        <v>31</v>
      </c>
      <c r="AM8">
        <v>68</v>
      </c>
      <c r="AN8">
        <v>11</v>
      </c>
      <c r="AO8">
        <v>40</v>
      </c>
    </row>
    <row r="9" spans="1:41" x14ac:dyDescent="0.3">
      <c r="A9" t="s">
        <v>111</v>
      </c>
      <c r="B9">
        <v>34</v>
      </c>
      <c r="C9">
        <v>12</v>
      </c>
      <c r="D9">
        <f t="shared" si="6"/>
        <v>24</v>
      </c>
      <c r="E9">
        <v>82</v>
      </c>
      <c r="F9">
        <v>25</v>
      </c>
      <c r="G9">
        <v>13</v>
      </c>
      <c r="H9">
        <f t="shared" si="1"/>
        <v>26</v>
      </c>
      <c r="I9">
        <v>20</v>
      </c>
      <c r="J9">
        <v>24</v>
      </c>
      <c r="K9">
        <v>20</v>
      </c>
      <c r="L9">
        <v>80</v>
      </c>
      <c r="M9">
        <v>20</v>
      </c>
      <c r="N9">
        <v>24</v>
      </c>
      <c r="O9">
        <f t="shared" si="2"/>
        <v>168</v>
      </c>
      <c r="P9">
        <v>3</v>
      </c>
      <c r="Q9">
        <f t="shared" si="3"/>
        <v>12</v>
      </c>
      <c r="R9">
        <v>198</v>
      </c>
      <c r="S9">
        <v>27</v>
      </c>
      <c r="T9">
        <v>32</v>
      </c>
      <c r="U9">
        <v>80</v>
      </c>
      <c r="V9">
        <v>32</v>
      </c>
      <c r="W9">
        <v>27</v>
      </c>
      <c r="X9">
        <f t="shared" si="4"/>
        <v>198</v>
      </c>
      <c r="Y9">
        <v>10</v>
      </c>
      <c r="Z9">
        <f t="shared" si="5"/>
        <v>40</v>
      </c>
      <c r="AA9">
        <v>378</v>
      </c>
      <c r="AB9">
        <v>57</v>
      </c>
      <c r="AC9">
        <v>72</v>
      </c>
      <c r="AD9">
        <v>120</v>
      </c>
      <c r="AE9">
        <v>72</v>
      </c>
      <c r="AF9">
        <v>57</v>
      </c>
      <c r="AG9">
        <f t="shared" si="0"/>
        <v>0</v>
      </c>
      <c r="AH9">
        <v>22</v>
      </c>
      <c r="AI9">
        <v>8</v>
      </c>
      <c r="AJ9">
        <v>12</v>
      </c>
      <c r="AK9">
        <v>84</v>
      </c>
      <c r="AL9">
        <v>31</v>
      </c>
      <c r="AM9">
        <v>68</v>
      </c>
      <c r="AN9">
        <v>10</v>
      </c>
      <c r="AO9">
        <v>40</v>
      </c>
    </row>
    <row r="10" spans="1:41" x14ac:dyDescent="0.3">
      <c r="A10" t="s">
        <v>112</v>
      </c>
      <c r="B10">
        <v>34</v>
      </c>
      <c r="C10">
        <v>12</v>
      </c>
      <c r="D10">
        <f t="shared" si="6"/>
        <v>24</v>
      </c>
      <c r="E10">
        <v>82</v>
      </c>
      <c r="F10">
        <v>25</v>
      </c>
      <c r="G10">
        <v>14</v>
      </c>
      <c r="H10">
        <f t="shared" si="1"/>
        <v>28</v>
      </c>
      <c r="I10">
        <v>22</v>
      </c>
      <c r="J10">
        <v>24</v>
      </c>
      <c r="K10">
        <v>22</v>
      </c>
      <c r="L10">
        <v>80</v>
      </c>
      <c r="M10">
        <v>22</v>
      </c>
      <c r="N10">
        <v>24</v>
      </c>
      <c r="O10">
        <f t="shared" si="2"/>
        <v>172</v>
      </c>
      <c r="P10">
        <v>2</v>
      </c>
      <c r="Q10">
        <f t="shared" si="3"/>
        <v>8</v>
      </c>
      <c r="R10">
        <v>192</v>
      </c>
      <c r="S10">
        <v>26</v>
      </c>
      <c r="T10">
        <v>30</v>
      </c>
      <c r="U10">
        <v>80</v>
      </c>
      <c r="V10">
        <v>30</v>
      </c>
      <c r="W10">
        <v>26</v>
      </c>
      <c r="X10">
        <f t="shared" si="4"/>
        <v>192</v>
      </c>
      <c r="Y10">
        <v>10</v>
      </c>
      <c r="Z10">
        <f t="shared" si="5"/>
        <v>40</v>
      </c>
      <c r="AA10">
        <v>372</v>
      </c>
      <c r="AB10">
        <v>56</v>
      </c>
      <c r="AC10">
        <v>70</v>
      </c>
      <c r="AD10">
        <v>120</v>
      </c>
      <c r="AE10">
        <v>70</v>
      </c>
      <c r="AF10">
        <v>56</v>
      </c>
      <c r="AG10">
        <f t="shared" si="0"/>
        <v>0</v>
      </c>
      <c r="AH10">
        <v>22</v>
      </c>
      <c r="AI10">
        <v>8</v>
      </c>
      <c r="AJ10">
        <v>14</v>
      </c>
      <c r="AK10">
        <v>84</v>
      </c>
      <c r="AL10">
        <v>30</v>
      </c>
      <c r="AM10">
        <v>72</v>
      </c>
      <c r="AN10">
        <v>13</v>
      </c>
      <c r="AO10">
        <v>44</v>
      </c>
    </row>
    <row r="11" spans="1:41" x14ac:dyDescent="0.3">
      <c r="A11" t="s">
        <v>113</v>
      </c>
      <c r="B11">
        <v>34</v>
      </c>
      <c r="C11">
        <v>13</v>
      </c>
      <c r="D11">
        <f t="shared" si="6"/>
        <v>26</v>
      </c>
      <c r="E11">
        <v>86</v>
      </c>
      <c r="F11">
        <v>27</v>
      </c>
      <c r="G11">
        <v>14</v>
      </c>
      <c r="H11">
        <f t="shared" si="1"/>
        <v>28</v>
      </c>
      <c r="I11">
        <v>22</v>
      </c>
      <c r="J11">
        <v>26</v>
      </c>
      <c r="K11">
        <v>22</v>
      </c>
      <c r="L11">
        <v>84</v>
      </c>
      <c r="M11">
        <v>22</v>
      </c>
      <c r="N11">
        <v>26</v>
      </c>
      <c r="O11">
        <f t="shared" si="2"/>
        <v>180</v>
      </c>
      <c r="P11">
        <v>2</v>
      </c>
      <c r="Q11">
        <f t="shared" si="3"/>
        <v>8</v>
      </c>
      <c r="R11">
        <v>200</v>
      </c>
      <c r="S11">
        <v>28</v>
      </c>
      <c r="T11">
        <v>30</v>
      </c>
      <c r="U11">
        <v>84</v>
      </c>
      <c r="V11">
        <v>30</v>
      </c>
      <c r="W11">
        <v>28</v>
      </c>
      <c r="X11">
        <f t="shared" si="4"/>
        <v>200</v>
      </c>
      <c r="Y11">
        <v>10</v>
      </c>
      <c r="Z11">
        <f t="shared" si="5"/>
        <v>40</v>
      </c>
      <c r="AA11">
        <v>380</v>
      </c>
      <c r="AB11">
        <v>58</v>
      </c>
      <c r="AC11">
        <v>70</v>
      </c>
      <c r="AD11">
        <v>124</v>
      </c>
      <c r="AE11">
        <v>70</v>
      </c>
      <c r="AF11">
        <v>58</v>
      </c>
      <c r="AG11">
        <f t="shared" si="0"/>
        <v>0</v>
      </c>
      <c r="AH11">
        <v>22</v>
      </c>
      <c r="AI11">
        <v>8</v>
      </c>
      <c r="AJ11">
        <v>16</v>
      </c>
      <c r="AK11">
        <v>86</v>
      </c>
      <c r="AL11">
        <v>29</v>
      </c>
      <c r="AM11">
        <v>72</v>
      </c>
      <c r="AN11">
        <v>11</v>
      </c>
      <c r="AO11">
        <v>44</v>
      </c>
    </row>
    <row r="12" spans="1:41" x14ac:dyDescent="0.3">
      <c r="A12" t="s">
        <v>114</v>
      </c>
      <c r="B12">
        <v>34</v>
      </c>
      <c r="C12">
        <v>14</v>
      </c>
      <c r="D12">
        <f t="shared" si="6"/>
        <v>28</v>
      </c>
      <c r="E12">
        <v>90</v>
      </c>
      <c r="F12">
        <v>29</v>
      </c>
      <c r="G12">
        <v>14</v>
      </c>
      <c r="H12">
        <f t="shared" si="1"/>
        <v>28</v>
      </c>
      <c r="I12">
        <v>22</v>
      </c>
      <c r="J12">
        <v>28</v>
      </c>
      <c r="K12">
        <v>22</v>
      </c>
      <c r="L12">
        <v>88</v>
      </c>
      <c r="M12">
        <v>22</v>
      </c>
      <c r="N12">
        <v>28</v>
      </c>
      <c r="O12">
        <f t="shared" si="2"/>
        <v>188</v>
      </c>
      <c r="P12">
        <v>1</v>
      </c>
      <c r="Q12">
        <f t="shared" si="3"/>
        <v>4</v>
      </c>
      <c r="R12">
        <v>198</v>
      </c>
      <c r="S12">
        <v>29</v>
      </c>
      <c r="T12">
        <v>26</v>
      </c>
      <c r="U12">
        <v>88</v>
      </c>
      <c r="V12">
        <v>26</v>
      </c>
      <c r="W12">
        <v>29</v>
      </c>
      <c r="X12">
        <f t="shared" si="4"/>
        <v>198</v>
      </c>
      <c r="Y12">
        <v>11</v>
      </c>
      <c r="Z12">
        <f t="shared" si="5"/>
        <v>44</v>
      </c>
      <c r="AA12">
        <v>396</v>
      </c>
      <c r="AB12">
        <v>62</v>
      </c>
      <c r="AC12">
        <v>70</v>
      </c>
      <c r="AD12">
        <v>132</v>
      </c>
      <c r="AE12">
        <v>70</v>
      </c>
      <c r="AF12">
        <v>62</v>
      </c>
      <c r="AG12">
        <f t="shared" si="0"/>
        <v>0</v>
      </c>
      <c r="AH12">
        <v>24</v>
      </c>
      <c r="AI12">
        <v>4</v>
      </c>
      <c r="AJ12">
        <v>18</v>
      </c>
      <c r="AK12">
        <v>88</v>
      </c>
      <c r="AL12">
        <v>29</v>
      </c>
      <c r="AM12">
        <v>72</v>
      </c>
      <c r="AN12">
        <v>10</v>
      </c>
      <c r="AO12">
        <v>44</v>
      </c>
    </row>
    <row r="13" spans="1:41" x14ac:dyDescent="0.3">
      <c r="A13" t="s">
        <v>6</v>
      </c>
      <c r="B13">
        <v>34</v>
      </c>
      <c r="C13">
        <v>14</v>
      </c>
      <c r="D13">
        <f t="shared" si="6"/>
        <v>28</v>
      </c>
      <c r="E13">
        <v>90</v>
      </c>
      <c r="F13">
        <v>29</v>
      </c>
      <c r="G13">
        <v>14</v>
      </c>
      <c r="H13">
        <f t="shared" si="1"/>
        <v>28</v>
      </c>
      <c r="I13">
        <v>22</v>
      </c>
      <c r="J13">
        <v>28</v>
      </c>
      <c r="K13">
        <v>22</v>
      </c>
      <c r="L13">
        <v>88</v>
      </c>
      <c r="M13">
        <v>22</v>
      </c>
      <c r="N13">
        <v>28</v>
      </c>
      <c r="O13">
        <f t="shared" si="2"/>
        <v>188</v>
      </c>
      <c r="P13">
        <v>1</v>
      </c>
      <c r="Q13">
        <f t="shared" si="3"/>
        <v>4</v>
      </c>
      <c r="R13">
        <v>198</v>
      </c>
      <c r="S13">
        <v>29</v>
      </c>
      <c r="T13">
        <v>26</v>
      </c>
      <c r="U13">
        <v>88</v>
      </c>
      <c r="V13">
        <v>26</v>
      </c>
      <c r="W13">
        <v>29</v>
      </c>
      <c r="X13">
        <f t="shared" si="4"/>
        <v>198</v>
      </c>
      <c r="Y13">
        <v>12</v>
      </c>
      <c r="Z13">
        <f t="shared" si="5"/>
        <v>48</v>
      </c>
      <c r="AA13">
        <v>414</v>
      </c>
      <c r="AB13">
        <v>65</v>
      </c>
      <c r="AC13">
        <v>74</v>
      </c>
      <c r="AD13">
        <v>136</v>
      </c>
      <c r="AE13">
        <v>74</v>
      </c>
      <c r="AF13">
        <v>65</v>
      </c>
      <c r="AG13">
        <f t="shared" si="0"/>
        <v>0</v>
      </c>
      <c r="AH13">
        <v>28</v>
      </c>
      <c r="AI13">
        <v>4</v>
      </c>
      <c r="AJ13">
        <v>20</v>
      </c>
      <c r="AK13">
        <v>94</v>
      </c>
      <c r="AL13">
        <v>28</v>
      </c>
      <c r="AM13">
        <v>72</v>
      </c>
      <c r="AN13">
        <v>7</v>
      </c>
      <c r="AO13">
        <v>44</v>
      </c>
    </row>
  </sheetData>
  <mergeCells count="2">
    <mergeCell ref="S2:X2"/>
    <mergeCell ref="AB2:AG2"/>
  </mergeCells>
  <pageMargins left="0.7" right="0.7" top="0.78740157499999996" bottom="0.78740157499999996" header="0.3" footer="0.3"/>
  <customProperties>
    <customPr name="_pios_id" r:id="rId1"/>
  </customProperties>
</worksheet>
</file>

<file path=docMetadata/LabelInfo.xml><?xml version="1.0" encoding="utf-8"?>
<clbl:labelList xmlns:clbl="http://schemas.microsoft.com/office/2020/mipLabelMetadata">
  <clbl:label id="{c31bbaf4-6778-4edb-83bf-fe971af79803}" enabled="1" method="Standard" siteId="{4b9f04c7-27a3-4ed9-84ba-e970f8f33dd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 (2)</vt:lpstr>
      <vt:lpstr>Ravelry</vt:lpstr>
      <vt:lpstr>Werte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Joerss-Schultz, Heike</dc:creator>
  <cp:keywords/>
  <dc:description/>
  <cp:lastModifiedBy>Heike Joerss-Schultz</cp:lastModifiedBy>
  <cp:revision/>
  <dcterms:created xsi:type="dcterms:W3CDTF">2025-09-24T09:50:59Z</dcterms:created>
  <dcterms:modified xsi:type="dcterms:W3CDTF">2026-08-20T14:14:36Z</dcterms:modified>
  <cp:category/>
  <cp:contentStatus/>
</cp:coreProperties>
</file>